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60" windowWidth="9555" windowHeight="68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<sst xmlns="http://schemas.openxmlformats.org/spreadsheetml/2006/main" count="222" uniqueCount="175">
  <si>
    <t xml:space="preserve">Značka </t>
  </si>
  <si>
    <t>CITROEN</t>
  </si>
  <si>
    <t>Typ</t>
  </si>
  <si>
    <t>CENA</t>
  </si>
  <si>
    <t>bez DPH</t>
  </si>
  <si>
    <t>vč. DPH</t>
  </si>
  <si>
    <t xml:space="preserve"> </t>
  </si>
  <si>
    <t>počet měsíčních splátek</t>
  </si>
  <si>
    <t>v %</t>
  </si>
  <si>
    <t>Leasing</t>
  </si>
  <si>
    <t>Telefon</t>
  </si>
  <si>
    <t>Firma</t>
  </si>
  <si>
    <t>AKCE</t>
  </si>
  <si>
    <t>DPH k ceně vozu %</t>
  </si>
  <si>
    <t>DPH za fin.služby %</t>
  </si>
  <si>
    <t>Zůstatková hodnota %</t>
  </si>
  <si>
    <t>Značka vozidla</t>
  </si>
  <si>
    <t>Sazba pojištění</t>
  </si>
  <si>
    <t>Cena výchozí pro pojištění</t>
  </si>
  <si>
    <t>Paušální poplatek   %</t>
  </si>
  <si>
    <t>Záloha - akontace %</t>
  </si>
  <si>
    <t>METEOR CAR   735 14  ORLOVÁ - Lutyně</t>
  </si>
  <si>
    <t>Pojišťovna</t>
  </si>
  <si>
    <t>TELEFON</t>
  </si>
  <si>
    <t>FIRMA</t>
  </si>
  <si>
    <t>Měs.spl.bez DPH v %</t>
  </si>
  <si>
    <t>DPH ke splátce</t>
  </si>
  <si>
    <t>z ceny vozu</t>
  </si>
  <si>
    <t>fin.služby</t>
  </si>
  <si>
    <t>DPH z</t>
  </si>
  <si>
    <t>Zůstatková hodhota b.d.</t>
  </si>
  <si>
    <t>Koeficient</t>
  </si>
  <si>
    <t>navýšení</t>
  </si>
  <si>
    <t>Splátka</t>
  </si>
  <si>
    <t>Zůst.hodnota vč.DPH</t>
  </si>
  <si>
    <t>Pojištění  Kč</t>
  </si>
  <si>
    <t>bez  pojištění</t>
  </si>
  <si>
    <t xml:space="preserve">Měsíční </t>
  </si>
  <si>
    <t xml:space="preserve">navýšení </t>
  </si>
  <si>
    <t>(vč.pojištění)</t>
  </si>
  <si>
    <t xml:space="preserve">celkové </t>
  </si>
  <si>
    <t>vč.pojištění</t>
  </si>
  <si>
    <t xml:space="preserve">Zde zadejte cenu auta : </t>
  </si>
  <si>
    <t>Do ostatních políček nic nepište !!</t>
  </si>
  <si>
    <t xml:space="preserve"> = jediný údaj, který vyplníte !!</t>
  </si>
  <si>
    <t xml:space="preserve">Spoluúčast </t>
  </si>
  <si>
    <t>sazba</t>
  </si>
  <si>
    <t>bez pojištění</t>
  </si>
  <si>
    <t xml:space="preserve">přeplatek </t>
  </si>
  <si>
    <t>reálný</t>
  </si>
  <si>
    <t>s DPH</t>
  </si>
  <si>
    <t>Měs. splátka</t>
  </si>
  <si>
    <t>a bez DPH</t>
  </si>
  <si>
    <t>(vč pojištění)</t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</si>
  <si>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36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O 27</t>
    </r>
    <r>
      <rPr>
        <sz val="10"/>
        <rFont val="Arial CE"/>
        <family val="0"/>
      </rPr>
      <t xml:space="preserve"> až </t>
    </r>
    <r>
      <rPr>
        <b/>
        <sz val="10"/>
        <rFont val="Arial CE"/>
        <family val="2"/>
      </rPr>
      <t>O 40</t>
    </r>
  </si>
  <si>
    <r>
      <t xml:space="preserve">je-li  </t>
    </r>
    <r>
      <rPr>
        <b/>
        <sz val="10"/>
        <rFont val="Arial CE"/>
        <family val="2"/>
      </rPr>
      <t>O15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2"/>
      </rPr>
      <t>= 60</t>
    </r>
    <r>
      <rPr>
        <sz val="10"/>
        <rFont val="Arial CE"/>
        <family val="0"/>
      </rPr>
      <t xml:space="preserve"> měsíců, platí sazba % </t>
    </r>
    <r>
      <rPr>
        <b/>
        <sz val="10"/>
        <rFont val="Arial CE"/>
        <family val="2"/>
      </rPr>
      <t>Q 27 až Q 40</t>
    </r>
  </si>
  <si>
    <t>Akce :</t>
  </si>
  <si>
    <t>Leasing pro užitkové vozy posílám také, bude lišit jen v následujících pasážích :</t>
  </si>
  <si>
    <r>
      <t xml:space="preserve">  - v buňce </t>
    </r>
    <r>
      <rPr>
        <b/>
        <sz val="10"/>
        <rFont val="Arial CE"/>
        <family val="2"/>
      </rPr>
      <t>O9</t>
    </r>
  </si>
  <si>
    <t xml:space="preserve">  -  a dále v tom, že u osobního se hav.pojištění počítá z ceny vozu s DPH a u užitkového z ceny vozu bez DPH !</t>
  </si>
  <si>
    <r>
      <t xml:space="preserve">     Rozdíl je také v </t>
    </r>
    <r>
      <rPr>
        <b/>
        <sz val="10"/>
        <rFont val="Arial CE"/>
        <family val="2"/>
      </rPr>
      <t xml:space="preserve">reálném přeplatku </t>
    </r>
    <r>
      <rPr>
        <sz val="10"/>
        <rFont val="Arial CE"/>
        <family val="2"/>
      </rPr>
      <t>a v</t>
    </r>
    <r>
      <rPr>
        <b/>
        <sz val="10"/>
        <rFont val="Arial CE"/>
        <family val="2"/>
      </rPr>
      <t xml:space="preserve"> koefic.navýšení vč. pojištění</t>
    </r>
    <r>
      <rPr>
        <sz val="10"/>
        <rFont val="Arial CE"/>
        <family val="0"/>
      </rPr>
      <t xml:space="preserve"> (ovíjí se od ceny , protože u užitkového lze uplatňovat odpočty DPH..</t>
    </r>
  </si>
  <si>
    <t xml:space="preserve">     (viz porovnání vzorců v obou zaslaných tabulkách….)</t>
  </si>
  <si>
    <t>Na www by výpočtů v tabulce pro klienta mělo být vidět jen :</t>
  </si>
  <si>
    <t>Kč</t>
  </si>
  <si>
    <t>Akontace</t>
  </si>
  <si>
    <t>vč DPH</t>
  </si>
  <si>
    <t>splátka vč DPH</t>
  </si>
  <si>
    <t>Akontace %</t>
  </si>
  <si>
    <t>a včetně DPH</t>
  </si>
  <si>
    <t>koeficient</t>
  </si>
  <si>
    <t>Havarijní</t>
  </si>
  <si>
    <t>pojištění</t>
  </si>
  <si>
    <t>měsíčně Kč</t>
  </si>
  <si>
    <t>navýšení *</t>
  </si>
  <si>
    <t xml:space="preserve">ad*) </t>
  </si>
  <si>
    <t>měsíců</t>
  </si>
  <si>
    <t>splátka bez DPH</t>
  </si>
  <si>
    <t>vč.hav.pojiš.</t>
  </si>
  <si>
    <t xml:space="preserve">Měs.splátka </t>
  </si>
  <si>
    <t>přeplatek *</t>
  </si>
  <si>
    <t>vč. pojištění</t>
  </si>
  <si>
    <t xml:space="preserve">Měs. splátka </t>
  </si>
  <si>
    <t>vč. hav.pojiš.</t>
  </si>
  <si>
    <t>vč. Hav.pojiš.</t>
  </si>
  <si>
    <t>Doba leasingu</t>
  </si>
  <si>
    <t>navýšení je kalkulováno na běžnou cenu pojištění ve výši 4,28% ročně z ceny vozu</t>
  </si>
  <si>
    <t>Užitkové vozy nebo přestavěná osobní auta (N1)s odpočtem DPH</t>
  </si>
  <si>
    <t>Osobní vozidlo bez odpočtu DPH</t>
  </si>
  <si>
    <t>Typ :</t>
  </si>
  <si>
    <t>Výbava:</t>
  </si>
  <si>
    <t>Zůstatková hodnota 2%</t>
  </si>
  <si>
    <t>Orintační hodnoty +/- 1%</t>
  </si>
  <si>
    <t>MĚSÍČNĚ</t>
  </si>
  <si>
    <t>vč.DPH</t>
  </si>
  <si>
    <t>vč.hav.poj.</t>
  </si>
  <si>
    <t xml:space="preserve">Měsíčně </t>
  </si>
  <si>
    <r>
      <t>Jedná se o orientční hodnoty</t>
    </r>
    <r>
      <rPr>
        <sz val="7"/>
        <rFont val="Arial CE"/>
        <family val="2"/>
      </rPr>
      <t xml:space="preserve"> </t>
    </r>
    <r>
      <rPr>
        <sz val="8"/>
        <rFont val="Arial CE"/>
        <family val="2"/>
      </rPr>
      <t>(+/-1%)</t>
    </r>
    <r>
      <rPr>
        <sz val="10"/>
        <rFont val="Arial CE"/>
        <family val="0"/>
      </rPr>
      <t>, přesné Vám budou vypočteny při nabídce konkrétního vozu.</t>
    </r>
  </si>
  <si>
    <t>BERLINGO 1,6 16V ATTRACTIVE</t>
  </si>
  <si>
    <t>I.V.O. 8 2005</t>
  </si>
  <si>
    <t>Zůstatková hodnota 1.000 Kč</t>
  </si>
  <si>
    <t>Cena osobního vozu</t>
  </si>
  <si>
    <t>Cena přestavby</t>
  </si>
  <si>
    <t>Cena přestavěného vozu</t>
  </si>
  <si>
    <t>Výpočet Leasingových splátek na 3 roky</t>
  </si>
  <si>
    <t>E-mail</t>
  </si>
  <si>
    <t>%</t>
  </si>
  <si>
    <t>Osobní / užitkové auto</t>
  </si>
  <si>
    <t>Doba splácení v měsících</t>
  </si>
  <si>
    <t>E-mail :</t>
  </si>
  <si>
    <t xml:space="preserve">Paušální poplatek vč.DPH </t>
  </si>
  <si>
    <t>V.I.P úvěr</t>
  </si>
  <si>
    <t>METEOR CAR</t>
  </si>
  <si>
    <t>Kalkulátor</t>
  </si>
  <si>
    <t>ALLIANZ</t>
  </si>
  <si>
    <t>Majitel firmy</t>
  </si>
  <si>
    <t>Zůstatková hodnota</t>
  </si>
  <si>
    <t>MĚSÍČNÍ SPLÁTKY</t>
  </si>
  <si>
    <t>CENA VOZIDLA bez DPH</t>
  </si>
  <si>
    <t>CENA VOZIDLA  vč. DPH</t>
  </si>
  <si>
    <t>DPH %</t>
  </si>
  <si>
    <t>PAPO</t>
  </si>
  <si>
    <t>počet</t>
  </si>
  <si>
    <t>SPLÁTKY</t>
  </si>
  <si>
    <t>výše</t>
  </si>
  <si>
    <t>Paušální poplatek</t>
  </si>
  <si>
    <t>Platba předem (akontace)</t>
  </si>
  <si>
    <t>m.spl. X 100/ PC</t>
  </si>
  <si>
    <t>%=</t>
  </si>
  <si>
    <t>PC</t>
  </si>
  <si>
    <t>1 ROK</t>
  </si>
  <si>
    <t>2 ROKY</t>
  </si>
  <si>
    <t>3 ROKY</t>
  </si>
  <si>
    <t>4 ROKY</t>
  </si>
  <si>
    <t>5 ROKŮ</t>
  </si>
  <si>
    <t>6 ROKŮ</t>
  </si>
  <si>
    <t>12 MĚSÍCŮ</t>
  </si>
  <si>
    <t>24 MĚSÍCŮ</t>
  </si>
  <si>
    <t>36 MĚSÍCŮ</t>
  </si>
  <si>
    <t>48 MĚSÍCŮ</t>
  </si>
  <si>
    <t>60 MĚSÍCŮ</t>
  </si>
  <si>
    <t>72 MĚSÍCŮ</t>
  </si>
  <si>
    <t>POČET SPLÁTEK (doba úvěru )</t>
  </si>
  <si>
    <t xml:space="preserve"> CESTA DO ORLOVÉ SE VÁM VYPLATÍ !</t>
  </si>
  <si>
    <t>Okružní č.p. 1418 (naproti Kauflandu)</t>
  </si>
  <si>
    <t xml:space="preserve">OSOBNÍ NEBO UŽITKOVÉ AUTO </t>
  </si>
  <si>
    <t>akontace</t>
  </si>
  <si>
    <t xml:space="preserve">Kalkulačka přeplatku, celkové a roční navýšení v %  </t>
  </si>
  <si>
    <t>Vyplňte 3 zelená políčka vybrané varianty z tabulky výše</t>
  </si>
  <si>
    <t>Běžná provize</t>
  </si>
  <si>
    <t>porvize 0%</t>
  </si>
  <si>
    <t>požadovaná</t>
  </si>
  <si>
    <t xml:space="preserve"> %</t>
  </si>
  <si>
    <t>koeficient %</t>
  </si>
  <si>
    <t xml:space="preserve">Orientační úvěrová kalkulace </t>
  </si>
  <si>
    <t>Plátcům DPH bude vráceno DPH ve výši:</t>
  </si>
  <si>
    <t>Cena vozu</t>
  </si>
  <si>
    <t>počet splátek</t>
  </si>
  <si>
    <t>výše splátek</t>
  </si>
  <si>
    <t>RPSN</t>
  </si>
  <si>
    <t>Suma úhrady</t>
  </si>
  <si>
    <t>X %</t>
  </si>
  <si>
    <t>SUPER V.I.P. HIT V</t>
  </si>
  <si>
    <t xml:space="preserve">Reprezentativní příklad RPSN je uveden v tabulce dole </t>
  </si>
  <si>
    <t>Výše úvěru</t>
  </si>
  <si>
    <t>Přeplatek úvěru celkem Kč</t>
  </si>
  <si>
    <r>
      <t>Pro výpočet splátek úvěru zadáváte jediný údaj</t>
    </r>
    <r>
      <rPr>
        <b/>
        <sz val="12"/>
        <color indexed="57"/>
        <rFont val="Arial CE"/>
        <family val="0"/>
      </rPr>
      <t xml:space="preserve"> do zeleného </t>
    </r>
    <r>
      <rPr>
        <b/>
        <sz val="12"/>
        <color indexed="10"/>
        <rFont val="Arial CE"/>
        <family val="0"/>
      </rPr>
      <t>políčka zadejte:</t>
    </r>
  </si>
  <si>
    <r>
      <t xml:space="preserve">cenu vozu vč. DPH      </t>
    </r>
    <r>
      <rPr>
        <b/>
        <sz val="12"/>
        <color indexed="10"/>
        <rFont val="Calibri"/>
        <family val="2"/>
      </rPr>
      <t>→</t>
    </r>
  </si>
  <si>
    <t xml:space="preserve">           </t>
  </si>
  <si>
    <t>prodej@meteorcar.cz</t>
  </si>
  <si>
    <t>Citroën Vital</t>
  </si>
  <si>
    <r>
      <t xml:space="preserve">Opište z tabulky výše    </t>
    </r>
    <r>
      <rPr>
        <b/>
        <sz val="11"/>
        <color indexed="10"/>
        <rFont val="Calibri"/>
        <family val="2"/>
      </rPr>
      <t>→→→</t>
    </r>
  </si>
  <si>
    <t>REPREZENTATIVNÍ PŘÍKLADY  RPSN</t>
  </si>
  <si>
    <r>
      <rPr>
        <sz val="6"/>
        <color indexed="23"/>
        <rFont val="Arial CE"/>
        <family val="0"/>
      </rPr>
      <t xml:space="preserve">   </t>
    </r>
    <r>
      <rPr>
        <sz val="6"/>
        <rFont val="Arial CE"/>
        <family val="0"/>
      </rPr>
      <t>I.V.O. &amp;  METEOR CAR  2018</t>
    </r>
  </si>
  <si>
    <t>Plátci DPH ušetří: Vratku DPH sníženou o přeplatek</t>
  </si>
  <si>
    <t xml:space="preserve">Průměrný roční přeplatek v  Kč  a  v  % </t>
  </si>
</sst>
</file>

<file path=xl/styles.xml><?xml version="1.0" encoding="utf-8"?>
<styleSheet xmlns="http://schemas.openxmlformats.org/spreadsheetml/2006/main">
  <numFmts count="3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&quot;Kč&quot;_-;\-* #,##0.000\ &quot;Kč&quot;_-;_-* &quot;-&quot;??\ &quot;Kč&quot;_-;_-@_-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  <numFmt numFmtId="167" formatCode="0.0000"/>
    <numFmt numFmtId="168" formatCode="0.000"/>
    <numFmt numFmtId="169" formatCode="0.0"/>
    <numFmt numFmtId="170" formatCode="0.0000%"/>
    <numFmt numFmtId="171" formatCode="0.0%"/>
    <numFmt numFmtId="172" formatCode="0.000%"/>
    <numFmt numFmtId="173" formatCode="_-* #,##0.0000\ &quot;Kč&quot;_-;\-* #,##0.0000\ &quot;Kč&quot;_-;_-* &quot;-&quot;??\ &quot;Kč&quot;_-;_-@_-"/>
    <numFmt numFmtId="174" formatCode="_-* #,##0.00000\ &quot;Kč&quot;_-;\-* #,##0.00000\ &quot;Kč&quot;_-;_-* &quot;-&quot;??\ &quot;Kč&quot;_-;_-@_-"/>
    <numFmt numFmtId="175" formatCode="_-* #,##0.000000\ &quot;Kč&quot;_-;\-* #,##0.000000\ &quot;Kč&quot;_-;_-* &quot;-&quot;??\ &quot;Kč&quot;_-;_-@_-"/>
    <numFmt numFmtId="176" formatCode="#,##0\ &quot;Kč&quot;"/>
    <numFmt numFmtId="177" formatCode="_-* #,##0.0000\ _K_č_-;\-* #,##0.0000\ _K_č_-;_-* &quot;-&quot;????\ _K_č_-;_-@_-"/>
    <numFmt numFmtId="178" formatCode="0.00000"/>
    <numFmt numFmtId="179" formatCode="_-* #,##0.000\ _K_č_-;\-* #,##0.000\ _K_č_-;_-* &quot;-&quot;???\ _K_č_-;_-@_-"/>
    <numFmt numFmtId="180" formatCode="#,##0\ _K_č"/>
    <numFmt numFmtId="181" formatCode="[$-405]d\.\ mmmm\ yyyy"/>
    <numFmt numFmtId="182" formatCode="_-* #,##0.000\ _K_č_-;\-* #,##0.000\ _K_č_-;_-* &quot;-&quot;??\ _K_č_-;_-@_-"/>
    <numFmt numFmtId="183" formatCode="0.0000000"/>
    <numFmt numFmtId="184" formatCode="0.000000"/>
    <numFmt numFmtId="185" formatCode="#,##0.00000_ ;\-#,##0.00000\ "/>
    <numFmt numFmtId="186" formatCode="#,##0.000000_ ;\-#,##0.000000\ "/>
    <numFmt numFmtId="187" formatCode="#,##0.0000000_ ;\-#,##0.0000000\ "/>
    <numFmt numFmtId="188" formatCode="#,##0.0000_ ;\-#,##0.0000\ "/>
    <numFmt numFmtId="189" formatCode="#,##0.000_ ;\-#,##0.000\ "/>
    <numFmt numFmtId="190" formatCode="#,##0.00_ ;\-#,##0.00\ "/>
    <numFmt numFmtId="191" formatCode="#,##0.0_ ;\-#,##0.0\ "/>
    <numFmt numFmtId="192" formatCode="#,##0_ ;\-#,##0\ "/>
    <numFmt numFmtId="193" formatCode="#,##0.00000"/>
    <numFmt numFmtId="194" formatCode="0.00000%"/>
  </numFmts>
  <fonts count="107">
    <font>
      <sz val="10"/>
      <name val="Arial CE"/>
      <family val="0"/>
    </font>
    <font>
      <b/>
      <sz val="16"/>
      <color indexed="10"/>
      <name val="Arial CE"/>
      <family val="2"/>
    </font>
    <font>
      <sz val="10"/>
      <color indexed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i/>
      <sz val="13"/>
      <name val="Arial CE"/>
      <family val="2"/>
    </font>
    <font>
      <b/>
      <i/>
      <sz val="12"/>
      <name val="Arial CE"/>
      <family val="2"/>
    </font>
    <font>
      <b/>
      <i/>
      <sz val="16"/>
      <color indexed="48"/>
      <name val="Arial CE"/>
      <family val="2"/>
    </font>
    <font>
      <sz val="16"/>
      <name val="Arial CE"/>
      <family val="2"/>
    </font>
    <font>
      <sz val="16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color indexed="10"/>
      <name val="Arial CE"/>
      <family val="2"/>
    </font>
    <font>
      <b/>
      <sz val="8"/>
      <color indexed="9"/>
      <name val="Arial CE"/>
      <family val="2"/>
    </font>
    <font>
      <b/>
      <sz val="11"/>
      <color indexed="9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"/>
      <family val="2"/>
    </font>
    <font>
      <sz val="10"/>
      <name val="Arial"/>
      <family val="2"/>
    </font>
    <font>
      <sz val="10"/>
      <name val="Arial Black"/>
      <family val="2"/>
    </font>
    <font>
      <b/>
      <sz val="12"/>
      <color indexed="10"/>
      <name val="Arial CE"/>
      <family val="0"/>
    </font>
    <font>
      <b/>
      <sz val="12"/>
      <color indexed="57"/>
      <name val="Arial CE"/>
      <family val="0"/>
    </font>
    <font>
      <sz val="6"/>
      <name val="Arial CE"/>
      <family val="0"/>
    </font>
    <font>
      <b/>
      <sz val="24"/>
      <name val="Arial CE"/>
      <family val="0"/>
    </font>
    <font>
      <sz val="24"/>
      <name val="Arial Black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6"/>
      <color indexed="2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0"/>
      <color indexed="36"/>
      <name val="Arial CE"/>
      <family val="0"/>
    </font>
    <font>
      <sz val="10"/>
      <color indexed="23"/>
      <name val="Arial CE"/>
      <family val="0"/>
    </font>
    <font>
      <sz val="10"/>
      <color indexed="8"/>
      <name val="Arial CE"/>
      <family val="0"/>
    </font>
    <font>
      <sz val="9"/>
      <color indexed="23"/>
      <name val="Arial CE"/>
      <family val="0"/>
    </font>
    <font>
      <b/>
      <sz val="10"/>
      <color indexed="23"/>
      <name val="Arial CE"/>
      <family val="0"/>
    </font>
    <font>
      <b/>
      <sz val="9"/>
      <color indexed="23"/>
      <name val="Arial CE"/>
      <family val="0"/>
    </font>
    <font>
      <b/>
      <sz val="14"/>
      <color indexed="23"/>
      <name val="Arial"/>
      <family val="2"/>
    </font>
    <font>
      <b/>
      <sz val="12"/>
      <color indexed="23"/>
      <name val="Arial"/>
      <family val="2"/>
    </font>
    <font>
      <b/>
      <sz val="14"/>
      <color indexed="23"/>
      <name val="Arial CE"/>
      <family val="0"/>
    </font>
    <font>
      <b/>
      <sz val="24"/>
      <color indexed="23"/>
      <name val="Arial CE"/>
      <family val="0"/>
    </font>
    <font>
      <b/>
      <sz val="11"/>
      <color indexed="57"/>
      <name val="Arial CE"/>
      <family val="0"/>
    </font>
    <font>
      <b/>
      <sz val="13"/>
      <color indexed="23"/>
      <name val="Arial CE"/>
      <family val="0"/>
    </font>
    <font>
      <b/>
      <sz val="11"/>
      <color indexed="10"/>
      <name val="Arial CE"/>
      <family val="0"/>
    </font>
    <font>
      <b/>
      <sz val="18"/>
      <color indexed="10"/>
      <name val="Calibri"/>
      <family val="2"/>
    </font>
    <font>
      <b/>
      <sz val="1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sz val="10"/>
      <color rgb="FFFF0000"/>
      <name val="Arial CE"/>
      <family val="2"/>
    </font>
    <font>
      <b/>
      <sz val="16"/>
      <color rgb="FFFF0000"/>
      <name val="Arial CE"/>
      <family val="2"/>
    </font>
    <font>
      <sz val="10"/>
      <color rgb="FF7030A0"/>
      <name val="Arial CE"/>
      <family val="0"/>
    </font>
    <font>
      <sz val="10"/>
      <color theme="0" tint="-0.4999699890613556"/>
      <name val="Arial CE"/>
      <family val="0"/>
    </font>
    <font>
      <sz val="10"/>
      <color theme="1"/>
      <name val="Arial CE"/>
      <family val="0"/>
    </font>
    <font>
      <sz val="9"/>
      <color theme="0" tint="-0.4999699890613556"/>
      <name val="Arial CE"/>
      <family val="0"/>
    </font>
    <font>
      <b/>
      <sz val="10"/>
      <color theme="0" tint="-0.4999699890613556"/>
      <name val="Arial CE"/>
      <family val="0"/>
    </font>
    <font>
      <b/>
      <sz val="9"/>
      <color theme="0" tint="-0.4999699890613556"/>
      <name val="Arial CE"/>
      <family val="0"/>
    </font>
    <font>
      <b/>
      <sz val="14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sz val="10"/>
      <color theme="0"/>
      <name val="Arial CE"/>
      <family val="0"/>
    </font>
    <font>
      <b/>
      <sz val="11"/>
      <color theme="6" tint="-0.24997000396251678"/>
      <name val="Arial CE"/>
      <family val="0"/>
    </font>
    <font>
      <b/>
      <sz val="13"/>
      <color theme="0" tint="-0.4999699890613556"/>
      <name val="Arial CE"/>
      <family val="0"/>
    </font>
    <font>
      <b/>
      <sz val="11"/>
      <color rgb="FFFF0000"/>
      <name val="Arial CE"/>
      <family val="0"/>
    </font>
    <font>
      <b/>
      <sz val="18"/>
      <color rgb="FFFF0000"/>
      <name val="Calibri"/>
      <family val="2"/>
    </font>
    <font>
      <b/>
      <sz val="18"/>
      <color rgb="FFFF0000"/>
      <name val="Arial CE"/>
      <family val="0"/>
    </font>
    <font>
      <b/>
      <sz val="14"/>
      <color theme="0" tint="-0.4999699890613556"/>
      <name val="Arial CE"/>
      <family val="0"/>
    </font>
    <font>
      <b/>
      <sz val="24"/>
      <color theme="0" tint="-0.4999699890613556"/>
      <name val="Arial CE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 tint="0.24998000264167786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176" fontId="4" fillId="34" borderId="12" xfId="0" applyNumberFormat="1" applyFont="1" applyFill="1" applyBorder="1" applyAlignment="1" applyProtection="1">
      <alignment/>
      <protection hidden="1"/>
    </xf>
    <xf numFmtId="0" fontId="14" fillId="33" borderId="11" xfId="0" applyFont="1" applyFill="1" applyBorder="1" applyAlignment="1" applyProtection="1">
      <alignment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0" fillId="33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 hidden="1"/>
    </xf>
    <xf numFmtId="0" fontId="0" fillId="36" borderId="0" xfId="0" applyFont="1" applyFill="1" applyBorder="1" applyAlignment="1" applyProtection="1">
      <alignment/>
      <protection hidden="1"/>
    </xf>
    <xf numFmtId="176" fontId="4" fillId="36" borderId="0" xfId="0" applyNumberFormat="1" applyFont="1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7" fillId="35" borderId="10" xfId="0" applyFont="1" applyFill="1" applyBorder="1" applyAlignment="1" applyProtection="1">
      <alignment horizontal="left"/>
      <protection hidden="1"/>
    </xf>
    <xf numFmtId="0" fontId="88" fillId="35" borderId="11" xfId="0" applyFont="1" applyFill="1" applyBorder="1" applyAlignment="1" applyProtection="1">
      <alignment/>
      <protection hidden="1"/>
    </xf>
    <xf numFmtId="0" fontId="89" fillId="35" borderId="17" xfId="0" applyFont="1" applyFill="1" applyBorder="1" applyAlignment="1" applyProtection="1">
      <alignment/>
      <protection/>
    </xf>
    <xf numFmtId="0" fontId="3" fillId="36" borderId="18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10" fillId="35" borderId="16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hidden="1"/>
    </xf>
    <xf numFmtId="0" fontId="7" fillId="35" borderId="0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0" fillId="35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15" fillId="35" borderId="0" xfId="0" applyFont="1" applyFill="1" applyBorder="1" applyAlignment="1" applyProtection="1">
      <alignment/>
      <protection hidden="1"/>
    </xf>
    <xf numFmtId="0" fontId="4" fillId="35" borderId="0" xfId="0" applyFont="1" applyFill="1" applyBorder="1" applyAlignment="1" applyProtection="1">
      <alignment/>
      <protection hidden="1"/>
    </xf>
    <xf numFmtId="0" fontId="3" fillId="0" borderId="20" xfId="0" applyFont="1" applyFill="1" applyBorder="1" applyAlignment="1" applyProtection="1">
      <alignment/>
      <protection/>
    </xf>
    <xf numFmtId="0" fontId="6" fillId="37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/>
    </xf>
    <xf numFmtId="3" fontId="23" fillId="38" borderId="22" xfId="36" applyNumberForma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 hidden="1"/>
    </xf>
    <xf numFmtId="0" fontId="0" fillId="38" borderId="26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 hidden="1"/>
    </xf>
    <xf numFmtId="0" fontId="87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87" fillId="35" borderId="0" xfId="0" applyFont="1" applyFill="1" applyBorder="1" applyAlignment="1" applyProtection="1">
      <alignment/>
      <protection hidden="1"/>
    </xf>
    <xf numFmtId="0" fontId="90" fillId="35" borderId="0" xfId="0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166" fontId="0" fillId="0" borderId="0" xfId="39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 hidden="1"/>
    </xf>
    <xf numFmtId="166" fontId="15" fillId="0" borderId="0" xfId="39" applyNumberFormat="1" applyFont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/>
      <protection hidden="1"/>
    </xf>
    <xf numFmtId="166" fontId="6" fillId="35" borderId="0" xfId="39" applyNumberFormat="1" applyFont="1" applyFill="1" applyBorder="1" applyAlignment="1" applyProtection="1">
      <alignment/>
      <protection hidden="1"/>
    </xf>
    <xf numFmtId="0" fontId="3" fillId="0" borderId="30" xfId="0" applyFont="1" applyBorder="1" applyAlignment="1" applyProtection="1">
      <alignment/>
      <protection/>
    </xf>
    <xf numFmtId="0" fontId="0" fillId="38" borderId="31" xfId="0" applyFill="1" applyBorder="1" applyAlignment="1" applyProtection="1">
      <alignment/>
      <protection/>
    </xf>
    <xf numFmtId="3" fontId="0" fillId="0" borderId="19" xfId="0" applyNumberFormat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/>
    </xf>
    <xf numFmtId="166" fontId="15" fillId="0" borderId="0" xfId="39" applyNumberFormat="1" applyFon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0" fontId="0" fillId="37" borderId="3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0" fontId="0" fillId="0" borderId="32" xfId="0" applyFill="1" applyBorder="1" applyAlignment="1" applyProtection="1">
      <alignment/>
      <protection hidden="1"/>
    </xf>
    <xf numFmtId="0" fontId="5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3" xfId="0" applyBorder="1" applyAlignment="1" applyProtection="1">
      <alignment/>
      <protection/>
    </xf>
    <xf numFmtId="0" fontId="0" fillId="0" borderId="34" xfId="0" applyFont="1" applyBorder="1" applyAlignment="1" applyProtection="1">
      <alignment/>
      <protection hidden="1"/>
    </xf>
    <xf numFmtId="0" fontId="0" fillId="38" borderId="0" xfId="0" applyFill="1" applyAlignment="1" applyProtection="1">
      <alignment/>
      <protection/>
    </xf>
    <xf numFmtId="0" fontId="0" fillId="0" borderId="35" xfId="0" applyFont="1" applyFill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39" borderId="3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35" xfId="0" applyFill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/>
    </xf>
    <xf numFmtId="0" fontId="0" fillId="38" borderId="13" xfId="0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0" borderId="0" xfId="0" applyFill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3" fillId="0" borderId="32" xfId="0" applyFont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171" fontId="0" fillId="34" borderId="31" xfId="0" applyNumberFormat="1" applyFill="1" applyBorder="1" applyAlignment="1" applyProtection="1">
      <alignment/>
      <protection/>
    </xf>
    <xf numFmtId="0" fontId="26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39" borderId="33" xfId="0" applyFont="1" applyFill="1" applyBorder="1" applyAlignment="1" applyProtection="1">
      <alignment horizontal="center"/>
      <protection hidden="1"/>
    </xf>
    <xf numFmtId="0" fontId="3" fillId="39" borderId="39" xfId="0" applyFont="1" applyFill="1" applyBorder="1" applyAlignment="1" applyProtection="1">
      <alignment horizontal="center"/>
      <protection hidden="1"/>
    </xf>
    <xf numFmtId="10" fontId="0" fillId="0" borderId="32" xfId="0" applyNumberFormat="1" applyFont="1" applyFill="1" applyBorder="1" applyAlignment="1" applyProtection="1">
      <alignment horizontal="center"/>
      <protection hidden="1"/>
    </xf>
    <xf numFmtId="0" fontId="5" fillId="39" borderId="18" xfId="0" applyFont="1" applyFill="1" applyBorder="1" applyAlignment="1" applyProtection="1">
      <alignment horizontal="center"/>
      <protection hidden="1"/>
    </xf>
    <xf numFmtId="0" fontId="0" fillId="0" borderId="34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9" fontId="3" fillId="0" borderId="0" xfId="0" applyNumberFormat="1" applyFont="1" applyAlignment="1" applyProtection="1">
      <alignment horizontal="center"/>
      <protection hidden="1"/>
    </xf>
    <xf numFmtId="0" fontId="3" fillId="0" borderId="40" xfId="0" applyFont="1" applyBorder="1" applyAlignment="1" applyProtection="1">
      <alignment/>
      <protection/>
    </xf>
    <xf numFmtId="0" fontId="0" fillId="0" borderId="41" xfId="0" applyFill="1" applyBorder="1" applyAlignment="1" applyProtection="1">
      <alignment horizontal="center"/>
      <protection/>
    </xf>
    <xf numFmtId="166" fontId="5" fillId="0" borderId="42" xfId="39" applyNumberFormat="1" applyFont="1" applyFill="1" applyBorder="1" applyAlignment="1" applyProtection="1">
      <alignment/>
      <protection hidden="1"/>
    </xf>
    <xf numFmtId="166" fontId="5" fillId="0" borderId="43" xfId="39" applyNumberFormat="1" applyFont="1" applyFill="1" applyBorder="1" applyAlignment="1" applyProtection="1">
      <alignment/>
      <protection hidden="1"/>
    </xf>
    <xf numFmtId="166" fontId="0" fillId="0" borderId="44" xfId="39" applyNumberFormat="1" applyFont="1" applyFill="1" applyBorder="1" applyAlignment="1" applyProtection="1">
      <alignment/>
      <protection hidden="1"/>
    </xf>
    <xf numFmtId="176" fontId="0" fillId="0" borderId="41" xfId="0" applyNumberFormat="1" applyFill="1" applyBorder="1" applyAlignment="1" applyProtection="1">
      <alignment horizontal="center"/>
      <protection hidden="1"/>
    </xf>
    <xf numFmtId="166" fontId="5" fillId="39" borderId="45" xfId="39" applyNumberFormat="1" applyFont="1" applyFill="1" applyBorder="1" applyAlignment="1" applyProtection="1">
      <alignment/>
      <protection hidden="1"/>
    </xf>
    <xf numFmtId="166" fontId="0" fillId="39" borderId="45" xfId="0" applyNumberFormat="1" applyFill="1" applyBorder="1" applyAlignment="1" applyProtection="1">
      <alignment/>
      <protection hidden="1"/>
    </xf>
    <xf numFmtId="166" fontId="0" fillId="0" borderId="45" xfId="39" applyNumberFormat="1" applyFont="1" applyFill="1" applyBorder="1" applyAlignment="1" applyProtection="1">
      <alignment/>
      <protection hidden="1"/>
    </xf>
    <xf numFmtId="166" fontId="5" fillId="39" borderId="46" xfId="39" applyNumberFormat="1" applyFont="1" applyFill="1" applyBorder="1" applyAlignment="1" applyProtection="1">
      <alignment/>
      <protection hidden="1"/>
    </xf>
    <xf numFmtId="168" fontId="0" fillId="0" borderId="13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/>
      <protection hidden="1"/>
    </xf>
    <xf numFmtId="170" fontId="3" fillId="0" borderId="29" xfId="0" applyNumberFormat="1" applyFont="1" applyBorder="1" applyAlignment="1" applyProtection="1">
      <alignment/>
      <protection hidden="1"/>
    </xf>
    <xf numFmtId="166" fontId="3" fillId="0" borderId="0" xfId="0" applyNumberFormat="1" applyFont="1" applyAlignment="1" applyProtection="1">
      <alignment/>
      <protection hidden="1"/>
    </xf>
    <xf numFmtId="166" fontId="3" fillId="0" borderId="0" xfId="39" applyNumberFormat="1" applyFont="1" applyAlignment="1" applyProtection="1">
      <alignment/>
      <protection hidden="1"/>
    </xf>
    <xf numFmtId="166" fontId="0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170" fontId="0" fillId="0" borderId="31" xfId="0" applyNumberFormat="1" applyFill="1" applyBorder="1" applyAlignment="1" applyProtection="1">
      <alignment/>
      <protection/>
    </xf>
    <xf numFmtId="0" fontId="3" fillId="38" borderId="47" xfId="0" applyFont="1" applyFill="1" applyBorder="1" applyAlignment="1" applyProtection="1">
      <alignment/>
      <protection/>
    </xf>
    <xf numFmtId="0" fontId="0" fillId="0" borderId="30" xfId="0" applyFill="1" applyBorder="1" applyAlignment="1" applyProtection="1">
      <alignment horizontal="center"/>
      <protection/>
    </xf>
    <xf numFmtId="166" fontId="5" fillId="0" borderId="48" xfId="39" applyNumberFormat="1" applyFont="1" applyFill="1" applyBorder="1" applyAlignment="1" applyProtection="1">
      <alignment/>
      <protection hidden="1"/>
    </xf>
    <xf numFmtId="0" fontId="0" fillId="0" borderId="49" xfId="0" applyFill="1" applyBorder="1" applyAlignment="1" applyProtection="1">
      <alignment horizontal="center"/>
      <protection/>
    </xf>
    <xf numFmtId="166" fontId="0" fillId="0" borderId="50" xfId="39" applyNumberFormat="1" applyFont="1" applyFill="1" applyBorder="1" applyAlignment="1" applyProtection="1">
      <alignment/>
      <protection hidden="1"/>
    </xf>
    <xf numFmtId="176" fontId="0" fillId="0" borderId="30" xfId="0" applyNumberFormat="1" applyFill="1" applyBorder="1" applyAlignment="1" applyProtection="1">
      <alignment horizontal="center"/>
      <protection hidden="1"/>
    </xf>
    <xf numFmtId="166" fontId="5" fillId="39" borderId="31" xfId="39" applyNumberFormat="1" applyFont="1" applyFill="1" applyBorder="1" applyAlignment="1" applyProtection="1">
      <alignment/>
      <protection hidden="1"/>
    </xf>
    <xf numFmtId="166" fontId="0" fillId="39" borderId="31" xfId="0" applyNumberFormat="1" applyFill="1" applyBorder="1" applyAlignment="1" applyProtection="1">
      <alignment/>
      <protection hidden="1"/>
    </xf>
    <xf numFmtId="166" fontId="0" fillId="0" borderId="46" xfId="39" applyNumberFormat="1" applyFont="1" applyFill="1" applyBorder="1" applyAlignment="1" applyProtection="1">
      <alignment/>
      <protection hidden="1"/>
    </xf>
    <xf numFmtId="168" fontId="0" fillId="0" borderId="48" xfId="0" applyNumberFormat="1" applyFill="1" applyBorder="1" applyAlignment="1" applyProtection="1">
      <alignment horizontal="center"/>
      <protection hidden="1"/>
    </xf>
    <xf numFmtId="179" fontId="0" fillId="0" borderId="50" xfId="0" applyNumberFormat="1" applyFill="1" applyBorder="1" applyAlignment="1" applyProtection="1">
      <alignment/>
      <protection hidden="1"/>
    </xf>
    <xf numFmtId="0" fontId="3" fillId="38" borderId="31" xfId="0" applyFont="1" applyFill="1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10" fontId="0" fillId="38" borderId="31" xfId="0" applyNumberFormat="1" applyFill="1" applyBorder="1" applyAlignment="1" applyProtection="1">
      <alignment horizontal="left"/>
      <protection/>
    </xf>
    <xf numFmtId="168" fontId="3" fillId="0" borderId="48" xfId="0" applyNumberFormat="1" applyFont="1" applyFill="1" applyBorder="1" applyAlignment="1" applyProtection="1">
      <alignment horizontal="center"/>
      <protection hidden="1"/>
    </xf>
    <xf numFmtId="166" fontId="0" fillId="0" borderId="50" xfId="0" applyNumberFormat="1" applyFill="1" applyBorder="1" applyAlignment="1" applyProtection="1">
      <alignment/>
      <protection hidden="1"/>
    </xf>
    <xf numFmtId="166" fontId="3" fillId="0" borderId="51" xfId="39" applyNumberFormat="1" applyFont="1" applyBorder="1" applyAlignment="1" applyProtection="1">
      <alignment horizontal="center"/>
      <protection/>
    </xf>
    <xf numFmtId="0" fontId="3" fillId="38" borderId="31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166" fontId="3" fillId="0" borderId="31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3" fillId="38" borderId="52" xfId="0" applyFont="1" applyFill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193" fontId="0" fillId="34" borderId="53" xfId="0" applyNumberFormat="1" applyFont="1" applyFill="1" applyBorder="1" applyAlignment="1" applyProtection="1">
      <alignment horizontal="center"/>
      <protection/>
    </xf>
    <xf numFmtId="193" fontId="0" fillId="41" borderId="31" xfId="0" applyNumberFormat="1" applyFill="1" applyBorder="1" applyAlignment="1" applyProtection="1">
      <alignment horizontal="center"/>
      <protection/>
    </xf>
    <xf numFmtId="193" fontId="0" fillId="34" borderId="31" xfId="0" applyNumberFormat="1" applyFill="1" applyBorder="1" applyAlignment="1" applyProtection="1">
      <alignment horizontal="center"/>
      <protection/>
    </xf>
    <xf numFmtId="166" fontId="5" fillId="0" borderId="54" xfId="39" applyNumberFormat="1" applyFont="1" applyFill="1" applyBorder="1" applyAlignment="1" applyProtection="1">
      <alignment/>
      <protection hidden="1"/>
    </xf>
    <xf numFmtId="166" fontId="5" fillId="0" borderId="55" xfId="39" applyNumberFormat="1" applyFont="1" applyFill="1" applyBorder="1" applyAlignment="1" applyProtection="1">
      <alignment/>
      <protection hidden="1"/>
    </xf>
    <xf numFmtId="0" fontId="3" fillId="0" borderId="30" xfId="0" applyFont="1" applyBorder="1" applyAlignment="1" applyProtection="1">
      <alignment horizontal="center"/>
      <protection/>
    </xf>
    <xf numFmtId="193" fontId="3" fillId="34" borderId="48" xfId="0" applyNumberFormat="1" applyFont="1" applyFill="1" applyBorder="1" applyAlignment="1" applyProtection="1">
      <alignment horizontal="center"/>
      <protection/>
    </xf>
    <xf numFmtId="193" fontId="0" fillId="41" borderId="31" xfId="0" applyNumberFormat="1" applyFill="1" applyBorder="1" applyAlignment="1" applyProtection="1">
      <alignment/>
      <protection/>
    </xf>
    <xf numFmtId="193" fontId="0" fillId="34" borderId="31" xfId="0" applyNumberFormat="1" applyFill="1" applyBorder="1" applyAlignment="1" applyProtection="1">
      <alignment/>
      <protection/>
    </xf>
    <xf numFmtId="166" fontId="5" fillId="35" borderId="0" xfId="39" applyNumberFormat="1" applyFont="1" applyFill="1" applyBorder="1" applyAlignment="1" applyProtection="1">
      <alignment/>
      <protection hidden="1"/>
    </xf>
    <xf numFmtId="193" fontId="0" fillId="34" borderId="48" xfId="0" applyNumberFormat="1" applyFont="1" applyFill="1" applyBorder="1" applyAlignment="1" applyProtection="1">
      <alignment horizontal="center"/>
      <protection/>
    </xf>
    <xf numFmtId="193" fontId="0" fillId="41" borderId="31" xfId="0" applyNumberFormat="1" applyFont="1" applyFill="1" applyBorder="1" applyAlignment="1" applyProtection="1">
      <alignment horizontal="center"/>
      <protection/>
    </xf>
    <xf numFmtId="193" fontId="0" fillId="34" borderId="31" xfId="0" applyNumberFormat="1" applyFont="1" applyFill="1" applyBorder="1" applyAlignment="1" applyProtection="1">
      <alignment horizontal="center"/>
      <protection/>
    </xf>
    <xf numFmtId="166" fontId="0" fillId="0" borderId="39" xfId="39" applyNumberFormat="1" applyFont="1" applyFill="1" applyBorder="1" applyAlignment="1" applyProtection="1">
      <alignment/>
      <protection hidden="1"/>
    </xf>
    <xf numFmtId="176" fontId="0" fillId="0" borderId="36" xfId="0" applyNumberFormat="1" applyFill="1" applyBorder="1" applyAlignment="1" applyProtection="1">
      <alignment horizontal="center"/>
      <protection hidden="1"/>
    </xf>
    <xf numFmtId="166" fontId="5" fillId="39" borderId="52" xfId="39" applyNumberFormat="1" applyFont="1" applyFill="1" applyBorder="1" applyAlignment="1" applyProtection="1">
      <alignment/>
      <protection hidden="1"/>
    </xf>
    <xf numFmtId="166" fontId="0" fillId="39" borderId="52" xfId="0" applyNumberFormat="1" applyFill="1" applyBorder="1" applyAlignment="1" applyProtection="1">
      <alignment/>
      <protection hidden="1"/>
    </xf>
    <xf numFmtId="166" fontId="0" fillId="0" borderId="56" xfId="39" applyNumberFormat="1" applyFont="1" applyFill="1" applyBorder="1" applyAlignment="1" applyProtection="1">
      <alignment/>
      <protection hidden="1"/>
    </xf>
    <xf numFmtId="168" fontId="3" fillId="0" borderId="57" xfId="0" applyNumberFormat="1" applyFont="1" applyFill="1" applyBorder="1" applyAlignment="1" applyProtection="1">
      <alignment horizontal="center"/>
      <protection hidden="1"/>
    </xf>
    <xf numFmtId="166" fontId="0" fillId="0" borderId="39" xfId="0" applyNumberFormat="1" applyFill="1" applyBorder="1" applyAlignment="1" applyProtection="1">
      <alignment/>
      <protection hidden="1"/>
    </xf>
    <xf numFmtId="0" fontId="0" fillId="0" borderId="41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30" xfId="0" applyBorder="1" applyAlignment="1" applyProtection="1">
      <alignment/>
      <protection/>
    </xf>
    <xf numFmtId="10" fontId="0" fillId="0" borderId="22" xfId="0" applyNumberForma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41" fontId="3" fillId="0" borderId="18" xfId="39" applyNumberFormat="1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193" fontId="0" fillId="37" borderId="38" xfId="0" applyNumberFormat="1" applyFont="1" applyFill="1" applyBorder="1" applyAlignment="1" applyProtection="1">
      <alignment horizontal="center"/>
      <protection/>
    </xf>
    <xf numFmtId="193" fontId="0" fillId="34" borderId="22" xfId="0" applyNumberFormat="1" applyFont="1" applyFill="1" applyBorder="1" applyAlignment="1" applyProtection="1">
      <alignment horizontal="center"/>
      <protection/>
    </xf>
    <xf numFmtId="0" fontId="0" fillId="42" borderId="0" xfId="0" applyFill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21" fillId="33" borderId="11" xfId="0" applyFont="1" applyFill="1" applyBorder="1" applyAlignment="1" applyProtection="1">
      <alignment/>
      <protection/>
    </xf>
    <xf numFmtId="180" fontId="22" fillId="33" borderId="12" xfId="39" applyNumberFormat="1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43" borderId="20" xfId="0" applyFont="1" applyFill="1" applyBorder="1" applyAlignment="1" applyProtection="1">
      <alignment/>
      <protection/>
    </xf>
    <xf numFmtId="0" fontId="0" fillId="43" borderId="13" xfId="0" applyFill="1" applyBorder="1" applyAlignment="1" applyProtection="1">
      <alignment/>
      <protection/>
    </xf>
    <xf numFmtId="180" fontId="5" fillId="43" borderId="14" xfId="0" applyNumberFormat="1" applyFont="1" applyFill="1" applyBorder="1" applyAlignment="1" applyProtection="1">
      <alignment horizontal="right"/>
      <protection/>
    </xf>
    <xf numFmtId="0" fontId="20" fillId="43" borderId="16" xfId="0" applyFont="1" applyFill="1" applyBorder="1" applyAlignment="1" applyProtection="1">
      <alignment/>
      <protection/>
    </xf>
    <xf numFmtId="0" fontId="0" fillId="43" borderId="0" xfId="0" applyFill="1" applyBorder="1" applyAlignment="1" applyProtection="1">
      <alignment/>
      <protection/>
    </xf>
    <xf numFmtId="180" fontId="5" fillId="43" borderId="19" xfId="0" applyNumberFormat="1" applyFont="1" applyFill="1" applyBorder="1" applyAlignment="1" applyProtection="1">
      <alignment horizontal="right"/>
      <protection/>
    </xf>
    <xf numFmtId="0" fontId="5" fillId="43" borderId="16" xfId="0" applyFont="1" applyFill="1" applyBorder="1" applyAlignment="1" applyProtection="1">
      <alignment/>
      <protection/>
    </xf>
    <xf numFmtId="0" fontId="5" fillId="43" borderId="15" xfId="0" applyFont="1" applyFill="1" applyBorder="1" applyAlignment="1" applyProtection="1">
      <alignment horizontal="center"/>
      <protection/>
    </xf>
    <xf numFmtId="180" fontId="18" fillId="43" borderId="14" xfId="0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5" fillId="39" borderId="15" xfId="0" applyFont="1" applyFill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18" fillId="43" borderId="16" xfId="0" applyFont="1" applyFill="1" applyBorder="1" applyAlignment="1" applyProtection="1">
      <alignment horizontal="center"/>
      <protection/>
    </xf>
    <xf numFmtId="0" fontId="5" fillId="43" borderId="35" xfId="0" applyFont="1" applyFill="1" applyBorder="1" applyAlignment="1" applyProtection="1">
      <alignment horizontal="center"/>
      <protection/>
    </xf>
    <xf numFmtId="180" fontId="18" fillId="43" borderId="19" xfId="0" applyNumberFormat="1" applyFont="1" applyFill="1" applyBorder="1" applyAlignment="1" applyProtection="1">
      <alignment horizontal="right"/>
      <protection/>
    </xf>
    <xf numFmtId="0" fontId="18" fillId="39" borderId="35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18" fillId="43" borderId="32" xfId="0" applyFont="1" applyFill="1" applyBorder="1" applyAlignment="1" applyProtection="1">
      <alignment horizontal="center"/>
      <protection/>
    </xf>
    <xf numFmtId="0" fontId="5" fillId="43" borderId="18" xfId="0" applyFont="1" applyFill="1" applyBorder="1" applyAlignment="1" applyProtection="1">
      <alignment horizontal="center"/>
      <protection/>
    </xf>
    <xf numFmtId="180" fontId="18" fillId="43" borderId="34" xfId="0" applyNumberFormat="1" applyFont="1" applyFill="1" applyBorder="1" applyAlignment="1" applyProtection="1">
      <alignment horizontal="right"/>
      <protection/>
    </xf>
    <xf numFmtId="0" fontId="0" fillId="0" borderId="33" xfId="0" applyBorder="1" applyAlignment="1" applyProtection="1">
      <alignment horizontal="center"/>
      <protection/>
    </xf>
    <xf numFmtId="0" fontId="18" fillId="39" borderId="18" xfId="0" applyFont="1" applyFill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18" fillId="43" borderId="23" xfId="0" applyFont="1" applyFill="1" applyBorder="1" applyAlignment="1" applyProtection="1">
      <alignment horizontal="center"/>
      <protection/>
    </xf>
    <xf numFmtId="166" fontId="5" fillId="43" borderId="63" xfId="39" applyNumberFormat="1" applyFont="1" applyFill="1" applyBorder="1" applyAlignment="1" applyProtection="1">
      <alignment/>
      <protection hidden="1"/>
    </xf>
    <xf numFmtId="180" fontId="5" fillId="43" borderId="29" xfId="0" applyNumberFormat="1" applyFont="1" applyFill="1" applyBorder="1" applyAlignment="1" applyProtection="1">
      <alignment horizontal="right"/>
      <protection/>
    </xf>
    <xf numFmtId="0" fontId="0" fillId="39" borderId="63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18" fillId="43" borderId="49" xfId="0" applyFont="1" applyFill="1" applyBorder="1" applyAlignment="1" applyProtection="1">
      <alignment horizontal="center"/>
      <protection/>
    </xf>
    <xf numFmtId="166" fontId="5" fillId="43" borderId="50" xfId="39" applyNumberFormat="1" applyFont="1" applyFill="1" applyBorder="1" applyAlignment="1" applyProtection="1">
      <alignment/>
      <protection hidden="1"/>
    </xf>
    <xf numFmtId="180" fontId="5" fillId="43" borderId="60" xfId="0" applyNumberFormat="1" applyFont="1" applyFill="1" applyBorder="1" applyAlignment="1" applyProtection="1">
      <alignment horizontal="right"/>
      <protection/>
    </xf>
    <xf numFmtId="0" fontId="0" fillId="39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166" fontId="17" fillId="43" borderId="50" xfId="39" applyNumberFormat="1" applyFont="1" applyFill="1" applyBorder="1" applyAlignment="1" applyProtection="1">
      <alignment/>
      <protection hidden="1"/>
    </xf>
    <xf numFmtId="166" fontId="0" fillId="0" borderId="59" xfId="0" applyNumberFormat="1" applyBorder="1" applyAlignment="1" applyProtection="1">
      <alignment/>
      <protection/>
    </xf>
    <xf numFmtId="166" fontId="5" fillId="39" borderId="50" xfId="0" applyNumberFormat="1" applyFont="1" applyFill="1" applyBorder="1" applyAlignment="1" applyProtection="1">
      <alignment/>
      <protection/>
    </xf>
    <xf numFmtId="168" fontId="0" fillId="0" borderId="65" xfId="0" applyNumberFormat="1" applyBorder="1" applyAlignment="1" applyProtection="1">
      <alignment horizontal="center"/>
      <protection/>
    </xf>
    <xf numFmtId="166" fontId="17" fillId="0" borderId="47" xfId="0" applyNumberFormat="1" applyFont="1" applyBorder="1" applyAlignment="1" applyProtection="1">
      <alignment/>
      <protection/>
    </xf>
    <xf numFmtId="0" fontId="18" fillId="43" borderId="66" xfId="0" applyFont="1" applyFill="1" applyBorder="1" applyAlignment="1" applyProtection="1">
      <alignment horizontal="center"/>
      <protection/>
    </xf>
    <xf numFmtId="166" fontId="17" fillId="43" borderId="39" xfId="39" applyNumberFormat="1" applyFont="1" applyFill="1" applyBorder="1" applyAlignment="1" applyProtection="1">
      <alignment/>
      <protection hidden="1"/>
    </xf>
    <xf numFmtId="180" fontId="5" fillId="43" borderId="67" xfId="0" applyNumberFormat="1" applyFont="1" applyFill="1" applyBorder="1" applyAlignment="1" applyProtection="1">
      <alignment horizontal="right"/>
      <protection/>
    </xf>
    <xf numFmtId="166" fontId="5" fillId="39" borderId="39" xfId="0" applyNumberFormat="1" applyFont="1" applyFill="1" applyBorder="1" applyAlignment="1" applyProtection="1">
      <alignment/>
      <protection/>
    </xf>
    <xf numFmtId="0" fontId="5" fillId="43" borderId="16" xfId="0" applyFont="1" applyFill="1" applyBorder="1" applyAlignment="1" applyProtection="1">
      <alignment horizontal="left"/>
      <protection/>
    </xf>
    <xf numFmtId="0" fontId="5" fillId="43" borderId="32" xfId="0" applyFont="1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180" fontId="5" fillId="43" borderId="34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/>
      <protection/>
    </xf>
    <xf numFmtId="0" fontId="5" fillId="44" borderId="15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8" fillId="0" borderId="15" xfId="0" applyFont="1" applyFill="1" applyBorder="1" applyAlignment="1" applyProtection="1">
      <alignment horizontal="center"/>
      <protection/>
    </xf>
    <xf numFmtId="0" fontId="5" fillId="44" borderId="3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44" borderId="35" xfId="0" applyFont="1" applyFill="1" applyBorder="1" applyAlignment="1" applyProtection="1">
      <alignment horizontal="center"/>
      <protection/>
    </xf>
    <xf numFmtId="0" fontId="19" fillId="44" borderId="35" xfId="0" applyFont="1" applyFill="1" applyBorder="1" applyAlignment="1" applyProtection="1">
      <alignment horizontal="center"/>
      <protection/>
    </xf>
    <xf numFmtId="0" fontId="18" fillId="0" borderId="35" xfId="0" applyFont="1" applyFill="1" applyBorder="1" applyAlignment="1" applyProtection="1">
      <alignment horizontal="center"/>
      <protection/>
    </xf>
    <xf numFmtId="0" fontId="5" fillId="44" borderId="18" xfId="0" applyFont="1" applyFill="1" applyBorder="1" applyAlignment="1" applyProtection="1">
      <alignment horizontal="center"/>
      <protection/>
    </xf>
    <xf numFmtId="0" fontId="5" fillId="0" borderId="33" xfId="0" applyFont="1" applyFill="1" applyBorder="1" applyAlignment="1" applyProtection="1">
      <alignment horizontal="center"/>
      <protection/>
    </xf>
    <xf numFmtId="0" fontId="18" fillId="44" borderId="35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3" fillId="44" borderId="63" xfId="0" applyFont="1" applyFill="1" applyBorder="1" applyAlignment="1" applyProtection="1">
      <alignment horizontal="center"/>
      <protection/>
    </xf>
    <xf numFmtId="166" fontId="5" fillId="0" borderId="68" xfId="39" applyNumberFormat="1" applyFont="1" applyFill="1" applyBorder="1" applyAlignment="1" applyProtection="1">
      <alignment/>
      <protection hidden="1"/>
    </xf>
    <xf numFmtId="44" fontId="0" fillId="44" borderId="50" xfId="0" applyNumberFormat="1" applyFill="1" applyBorder="1" applyAlignment="1" applyProtection="1">
      <alignment/>
      <protection/>
    </xf>
    <xf numFmtId="0" fontId="0" fillId="44" borderId="50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0" fillId="0" borderId="65" xfId="0" applyBorder="1" applyAlignment="1" applyProtection="1">
      <alignment horizontal="center"/>
      <protection/>
    </xf>
    <xf numFmtId="0" fontId="3" fillId="44" borderId="50" xfId="0" applyFont="1" applyFill="1" applyBorder="1" applyAlignment="1" applyProtection="1">
      <alignment horizontal="center"/>
      <protection/>
    </xf>
    <xf numFmtId="166" fontId="5" fillId="0" borderId="59" xfId="39" applyNumberFormat="1" applyFont="1" applyFill="1" applyBorder="1" applyAlignment="1" applyProtection="1">
      <alignment/>
      <protection hidden="1"/>
    </xf>
    <xf numFmtId="166" fontId="0" fillId="44" borderId="50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6" fontId="17" fillId="44" borderId="50" xfId="0" applyNumberFormat="1" applyFont="1" applyFill="1" applyBorder="1" applyAlignment="1" applyProtection="1">
      <alignment horizontal="center"/>
      <protection/>
    </xf>
    <xf numFmtId="166" fontId="17" fillId="0" borderId="59" xfId="39" applyNumberFormat="1" applyFont="1" applyFill="1" applyBorder="1" applyAlignment="1" applyProtection="1">
      <alignment/>
      <protection hidden="1"/>
    </xf>
    <xf numFmtId="166" fontId="5" fillId="44" borderId="50" xfId="0" applyNumberFormat="1" applyFont="1" applyFill="1" applyBorder="1" applyAlignment="1" applyProtection="1">
      <alignment/>
      <protection/>
    </xf>
    <xf numFmtId="166" fontId="19" fillId="0" borderId="50" xfId="0" applyNumberFormat="1" applyFont="1" applyFill="1" applyBorder="1" applyAlignment="1" applyProtection="1">
      <alignment/>
      <protection/>
    </xf>
    <xf numFmtId="166" fontId="3" fillId="0" borderId="47" xfId="0" applyNumberFormat="1" applyFont="1" applyBorder="1" applyAlignment="1" applyProtection="1">
      <alignment/>
      <protection/>
    </xf>
    <xf numFmtId="176" fontId="17" fillId="44" borderId="39" xfId="0" applyNumberFormat="1" applyFont="1" applyFill="1" applyBorder="1" applyAlignment="1" applyProtection="1">
      <alignment horizontal="center"/>
      <protection/>
    </xf>
    <xf numFmtId="166" fontId="17" fillId="0" borderId="61" xfId="39" applyNumberFormat="1" applyFont="1" applyFill="1" applyBorder="1" applyAlignment="1" applyProtection="1">
      <alignment/>
      <protection hidden="1"/>
    </xf>
    <xf numFmtId="166" fontId="5" fillId="44" borderId="39" xfId="0" applyNumberFormat="1" applyFont="1" applyFill="1" applyBorder="1" applyAlignment="1" applyProtection="1">
      <alignment/>
      <protection/>
    </xf>
    <xf numFmtId="166" fontId="0" fillId="0" borderId="61" xfId="0" applyNumberFormat="1" applyBorder="1" applyAlignment="1" applyProtection="1">
      <alignment/>
      <protection/>
    </xf>
    <xf numFmtId="166" fontId="0" fillId="44" borderId="39" xfId="0" applyNumberFormat="1" applyFill="1" applyBorder="1" applyAlignment="1" applyProtection="1">
      <alignment/>
      <protection/>
    </xf>
    <xf numFmtId="166" fontId="19" fillId="0" borderId="39" xfId="0" applyNumberFormat="1" applyFont="1" applyFill="1" applyBorder="1" applyAlignment="1" applyProtection="1">
      <alignment/>
      <protection/>
    </xf>
    <xf numFmtId="168" fontId="0" fillId="0" borderId="69" xfId="0" applyNumberFormat="1" applyBorder="1" applyAlignment="1" applyProtection="1">
      <alignment horizontal="center"/>
      <protection/>
    </xf>
    <xf numFmtId="166" fontId="3" fillId="0" borderId="57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right"/>
      <protection/>
    </xf>
    <xf numFmtId="193" fontId="0" fillId="41" borderId="48" xfId="0" applyNumberFormat="1" applyFill="1" applyBorder="1" applyAlignment="1" applyProtection="1">
      <alignment horizontal="center"/>
      <protection/>
    </xf>
    <xf numFmtId="193" fontId="0" fillId="41" borderId="48" xfId="0" applyNumberFormat="1" applyFill="1" applyBorder="1" applyAlignment="1" applyProtection="1">
      <alignment/>
      <protection/>
    </xf>
    <xf numFmtId="193" fontId="0" fillId="41" borderId="48" xfId="0" applyNumberFormat="1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0" fontId="15" fillId="0" borderId="58" xfId="0" applyFont="1" applyFill="1" applyBorder="1" applyAlignment="1" applyProtection="1">
      <alignment/>
      <protection/>
    </xf>
    <xf numFmtId="0" fontId="8" fillId="0" borderId="26" xfId="0" applyFont="1" applyFill="1" applyBorder="1" applyAlignment="1" applyProtection="1">
      <alignment/>
      <protection hidden="1"/>
    </xf>
    <xf numFmtId="0" fontId="0" fillId="0" borderId="70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166" fontId="5" fillId="0" borderId="48" xfId="0" applyNumberFormat="1" applyFont="1" applyBorder="1" applyAlignment="1" applyProtection="1">
      <alignment/>
      <protection/>
    </xf>
    <xf numFmtId="0" fontId="5" fillId="0" borderId="31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166" fontId="0" fillId="0" borderId="36" xfId="0" applyNumberFormat="1" applyFont="1" applyFill="1" applyBorder="1" applyAlignment="1" applyProtection="1">
      <alignment/>
      <protection/>
    </xf>
    <xf numFmtId="166" fontId="0" fillId="0" borderId="52" xfId="0" applyNumberFormat="1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7" xfId="0" applyFill="1" applyBorder="1" applyAlignment="1" applyProtection="1">
      <alignment/>
      <protection/>
    </xf>
    <xf numFmtId="0" fontId="88" fillId="0" borderId="0" xfId="0" applyFont="1" applyFill="1" applyBorder="1" applyAlignment="1" applyProtection="1">
      <alignment/>
      <protection/>
    </xf>
    <xf numFmtId="166" fontId="0" fillId="0" borderId="0" xfId="39" applyNumberFormat="1" applyFont="1" applyBorder="1" applyAlignment="1" applyProtection="1">
      <alignment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89" fillId="40" borderId="31" xfId="0" applyFont="1" applyFill="1" applyBorder="1" applyAlignment="1" applyProtection="1">
      <alignment horizontal="center"/>
      <protection/>
    </xf>
    <xf numFmtId="166" fontId="0" fillId="0" borderId="31" xfId="0" applyNumberFormat="1" applyFont="1" applyFill="1" applyBorder="1" applyAlignment="1" applyProtection="1">
      <alignment horizontal="center"/>
      <protection/>
    </xf>
    <xf numFmtId="166" fontId="0" fillId="34" borderId="31" xfId="0" applyNumberFormat="1" applyFont="1" applyFill="1" applyBorder="1" applyAlignment="1" applyProtection="1">
      <alignment/>
      <protection/>
    </xf>
    <xf numFmtId="192" fontId="0" fillId="34" borderId="31" xfId="0" applyNumberFormat="1" applyFont="1" applyFill="1" applyBorder="1" applyAlignment="1" applyProtection="1">
      <alignment/>
      <protection/>
    </xf>
    <xf numFmtId="185" fontId="0" fillId="0" borderId="31" xfId="0" applyNumberFormat="1" applyFont="1" applyFill="1" applyBorder="1" applyAlignment="1" applyProtection="1">
      <alignment/>
      <protection/>
    </xf>
    <xf numFmtId="0" fontId="5" fillId="0" borderId="71" xfId="0" applyFont="1" applyFill="1" applyBorder="1" applyAlignment="1" applyProtection="1">
      <alignment horizontal="center"/>
      <protection/>
    </xf>
    <xf numFmtId="0" fontId="89" fillId="0" borderId="31" xfId="0" applyFon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1" fontId="29" fillId="0" borderId="33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/>
      <protection locked="0"/>
    </xf>
    <xf numFmtId="0" fontId="91" fillId="0" borderId="0" xfId="0" applyFont="1" applyBorder="1" applyAlignment="1" applyProtection="1">
      <alignment horizontal="left"/>
      <protection locked="0"/>
    </xf>
    <xf numFmtId="172" fontId="91" fillId="0" borderId="0" xfId="0" applyNumberFormat="1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9" fillId="0" borderId="16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/>
    </xf>
    <xf numFmtId="0" fontId="29" fillId="0" borderId="19" xfId="0" applyFont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35" borderId="32" xfId="0" applyFont="1" applyFill="1" applyBorder="1" applyAlignment="1" applyProtection="1">
      <alignment/>
      <protection/>
    </xf>
    <xf numFmtId="3" fontId="29" fillId="35" borderId="33" xfId="0" applyNumberFormat="1" applyFont="1" applyFill="1" applyBorder="1" applyAlignment="1" applyProtection="1">
      <alignment horizontal="center"/>
      <protection/>
    </xf>
    <xf numFmtId="0" fontId="29" fillId="0" borderId="33" xfId="0" applyFont="1" applyBorder="1" applyAlignment="1" applyProtection="1">
      <alignment/>
      <protection/>
    </xf>
    <xf numFmtId="0" fontId="29" fillId="0" borderId="34" xfId="0" applyFont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/>
    </xf>
    <xf numFmtId="0" fontId="0" fillId="45" borderId="0" xfId="0" applyFill="1" applyBorder="1" applyAlignment="1" applyProtection="1">
      <alignment/>
      <protection/>
    </xf>
    <xf numFmtId="0" fontId="0" fillId="45" borderId="19" xfId="0" applyFill="1" applyBorder="1" applyAlignment="1" applyProtection="1">
      <alignment/>
      <protection/>
    </xf>
    <xf numFmtId="0" fontId="0" fillId="45" borderId="16" xfId="0" applyFill="1" applyBorder="1" applyAlignment="1" applyProtection="1">
      <alignment/>
      <protection locked="0"/>
    </xf>
    <xf numFmtId="0" fontId="25" fillId="45" borderId="0" xfId="0" applyFont="1" applyFill="1" applyBorder="1" applyAlignment="1" applyProtection="1">
      <alignment horizontal="center"/>
      <protection locked="0"/>
    </xf>
    <xf numFmtId="0" fontId="0" fillId="45" borderId="35" xfId="0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" fontId="29" fillId="0" borderId="33" xfId="0" applyNumberFormat="1" applyFont="1" applyBorder="1" applyAlignment="1" applyProtection="1">
      <alignment/>
      <protection/>
    </xf>
    <xf numFmtId="3" fontId="0" fillId="38" borderId="26" xfId="0" applyNumberFormat="1" applyFill="1" applyBorder="1" applyAlignment="1" applyProtection="1">
      <alignment/>
      <protection/>
    </xf>
    <xf numFmtId="0" fontId="0" fillId="38" borderId="31" xfId="0" applyFill="1" applyBorder="1" applyAlignment="1" applyProtection="1">
      <alignment horizontal="left"/>
      <protection/>
    </xf>
    <xf numFmtId="0" fontId="92" fillId="0" borderId="28" xfId="0" applyFont="1" applyBorder="1" applyAlignment="1" applyProtection="1">
      <alignment horizontal="center"/>
      <protection/>
    </xf>
    <xf numFmtId="0" fontId="92" fillId="35" borderId="46" xfId="0" applyFont="1" applyFill="1" applyBorder="1" applyAlignment="1" applyProtection="1">
      <alignment horizontal="center"/>
      <protection/>
    </xf>
    <xf numFmtId="0" fontId="92" fillId="35" borderId="64" xfId="0" applyFont="1" applyFill="1" applyBorder="1" applyAlignment="1" applyProtection="1">
      <alignment horizontal="center"/>
      <protection/>
    </xf>
    <xf numFmtId="166" fontId="93" fillId="34" borderId="22" xfId="39" applyNumberFormat="1" applyFont="1" applyFill="1" applyBorder="1" applyAlignment="1" applyProtection="1">
      <alignment horizontal="center"/>
      <protection locked="0"/>
    </xf>
    <xf numFmtId="166" fontId="93" fillId="34" borderId="71" xfId="39" applyNumberFormat="1" applyFont="1" applyFill="1" applyBorder="1" applyAlignment="1" applyProtection="1">
      <alignment/>
      <protection locked="0"/>
    </xf>
    <xf numFmtId="0" fontId="93" fillId="34" borderId="21" xfId="0" applyFont="1" applyFill="1" applyBorder="1" applyAlignment="1" applyProtection="1">
      <alignment horizontal="center"/>
      <protection locked="0"/>
    </xf>
    <xf numFmtId="0" fontId="92" fillId="0" borderId="65" xfId="0" applyFont="1" applyBorder="1" applyAlignment="1" applyProtection="1">
      <alignment/>
      <protection/>
    </xf>
    <xf numFmtId="0" fontId="92" fillId="0" borderId="65" xfId="0" applyFont="1" applyBorder="1" applyAlignment="1" applyProtection="1">
      <alignment horizontal="center" vertical="center"/>
      <protection/>
    </xf>
    <xf numFmtId="166" fontId="94" fillId="0" borderId="70" xfId="0" applyNumberFormat="1" applyFont="1" applyBorder="1" applyAlignment="1" applyProtection="1">
      <alignment horizontal="center" vertical="center"/>
      <protection/>
    </xf>
    <xf numFmtId="166" fontId="92" fillId="0" borderId="48" xfId="0" applyNumberFormat="1" applyFont="1" applyBorder="1" applyAlignment="1" applyProtection="1">
      <alignment/>
      <protection/>
    </xf>
    <xf numFmtId="166" fontId="92" fillId="0" borderId="48" xfId="0" applyNumberFormat="1" applyFont="1" applyBorder="1" applyAlignment="1" applyProtection="1">
      <alignment/>
      <protection/>
    </xf>
    <xf numFmtId="166" fontId="92" fillId="0" borderId="38" xfId="0" applyNumberFormat="1" applyFont="1" applyBorder="1" applyAlignment="1" applyProtection="1">
      <alignment/>
      <protection/>
    </xf>
    <xf numFmtId="0" fontId="92" fillId="0" borderId="18" xfId="0" applyFont="1" applyBorder="1" applyAlignment="1" applyProtection="1">
      <alignment/>
      <protection/>
    </xf>
    <xf numFmtId="172" fontId="17" fillId="45" borderId="72" xfId="0" applyNumberFormat="1" applyFont="1" applyFill="1" applyBorder="1" applyAlignment="1" applyProtection="1">
      <alignment/>
      <protection/>
    </xf>
    <xf numFmtId="166" fontId="94" fillId="0" borderId="31" xfId="0" applyNumberFormat="1" applyFont="1" applyBorder="1" applyAlignment="1" applyProtection="1">
      <alignment/>
      <protection/>
    </xf>
    <xf numFmtId="166" fontId="94" fillId="0" borderId="31" xfId="0" applyNumberFormat="1" applyFont="1" applyBorder="1" applyAlignment="1" applyProtection="1">
      <alignment/>
      <protection/>
    </xf>
    <xf numFmtId="172" fontId="95" fillId="0" borderId="31" xfId="0" applyNumberFormat="1" applyFont="1" applyBorder="1" applyAlignment="1" applyProtection="1">
      <alignment/>
      <protection/>
    </xf>
    <xf numFmtId="166" fontId="96" fillId="0" borderId="31" xfId="39" applyNumberFormat="1" applyFont="1" applyBorder="1" applyAlignment="1" applyProtection="1">
      <alignment horizontal="center"/>
      <protection/>
    </xf>
    <xf numFmtId="0" fontId="92" fillId="0" borderId="31" xfId="0" applyFont="1" applyBorder="1" applyAlignment="1" applyProtection="1">
      <alignment/>
      <protection/>
    </xf>
    <xf numFmtId="166" fontId="96" fillId="0" borderId="31" xfId="0" applyNumberFormat="1" applyFont="1" applyBorder="1" applyAlignment="1" applyProtection="1">
      <alignment horizontal="right"/>
      <protection/>
    </xf>
    <xf numFmtId="0" fontId="95" fillId="0" borderId="31" xfId="0" applyFont="1" applyBorder="1" applyAlignment="1" applyProtection="1">
      <alignment horizontal="center"/>
      <protection/>
    </xf>
    <xf numFmtId="0" fontId="97" fillId="35" borderId="16" xfId="0" applyFont="1" applyFill="1" applyBorder="1" applyAlignment="1" applyProtection="1">
      <alignment/>
      <protection locked="0"/>
    </xf>
    <xf numFmtId="9" fontId="98" fillId="35" borderId="0" xfId="0" applyNumberFormat="1" applyFont="1" applyFill="1" applyBorder="1" applyAlignment="1" applyProtection="1">
      <alignment horizontal="center"/>
      <protection locked="0"/>
    </xf>
    <xf numFmtId="166" fontId="94" fillId="0" borderId="73" xfId="0" applyNumberFormat="1" applyFont="1" applyBorder="1" applyAlignment="1" applyProtection="1">
      <alignment horizontal="center"/>
      <protection/>
    </xf>
    <xf numFmtId="0" fontId="92" fillId="0" borderId="41" xfId="0" applyFont="1" applyBorder="1" applyAlignment="1" applyProtection="1">
      <alignment wrapText="1"/>
      <protection locked="0"/>
    </xf>
    <xf numFmtId="42" fontId="92" fillId="35" borderId="73" xfId="39" applyNumberFormat="1" applyFont="1" applyFill="1" applyBorder="1" applyAlignment="1" applyProtection="1">
      <alignment horizontal="right"/>
      <protection locked="0"/>
    </xf>
    <xf numFmtId="0" fontId="92" fillId="0" borderId="30" xfId="0" applyFont="1" applyBorder="1" applyAlignment="1" applyProtection="1">
      <alignment/>
      <protection locked="0"/>
    </xf>
    <xf numFmtId="42" fontId="92" fillId="35" borderId="47" xfId="39" applyNumberFormat="1" applyFont="1" applyFill="1" applyBorder="1" applyAlignment="1" applyProtection="1">
      <alignment horizontal="right"/>
      <protection locked="0"/>
    </xf>
    <xf numFmtId="0" fontId="92" fillId="13" borderId="47" xfId="0" applyFont="1" applyFill="1" applyBorder="1" applyAlignment="1" applyProtection="1">
      <alignment horizontal="center"/>
      <protection locked="0"/>
    </xf>
    <xf numFmtId="42" fontId="92" fillId="35" borderId="47" xfId="0" applyNumberFormat="1" applyFont="1" applyFill="1" applyBorder="1" applyAlignment="1" applyProtection="1">
      <alignment/>
      <protection locked="0"/>
    </xf>
    <xf numFmtId="0" fontId="95" fillId="0" borderId="36" xfId="0" applyFont="1" applyBorder="1" applyAlignment="1" applyProtection="1">
      <alignment/>
      <protection locked="0"/>
    </xf>
    <xf numFmtId="172" fontId="95" fillId="35" borderId="57" xfId="0" applyNumberFormat="1" applyFont="1" applyFill="1" applyBorder="1" applyAlignment="1" applyProtection="1">
      <alignment horizontal="center"/>
      <protection locked="0"/>
    </xf>
    <xf numFmtId="176" fontId="0" fillId="0" borderId="30" xfId="0" applyNumberFormat="1" applyFont="1" applyFill="1" applyBorder="1" applyAlignment="1" applyProtection="1">
      <alignment/>
      <protection/>
    </xf>
    <xf numFmtId="176" fontId="0" fillId="0" borderId="31" xfId="0" applyNumberFormat="1" applyFont="1" applyFill="1" applyBorder="1" applyAlignment="1" applyProtection="1">
      <alignment/>
      <protection/>
    </xf>
    <xf numFmtId="176" fontId="0" fillId="0" borderId="47" xfId="0" applyNumberFormat="1" applyFont="1" applyFill="1" applyBorder="1" applyAlignment="1" applyProtection="1">
      <alignment/>
      <protection/>
    </xf>
    <xf numFmtId="166" fontId="5" fillId="35" borderId="38" xfId="39" applyNumberFormat="1" applyFont="1" applyFill="1" applyBorder="1" applyAlignment="1" applyProtection="1">
      <alignment/>
      <protection/>
    </xf>
    <xf numFmtId="0" fontId="15" fillId="0" borderId="38" xfId="0" applyFont="1" applyFill="1" applyBorder="1" applyAlignment="1" applyProtection="1">
      <alignment horizontal="center"/>
      <protection/>
    </xf>
    <xf numFmtId="166" fontId="0" fillId="0" borderId="73" xfId="39" applyNumberFormat="1" applyFont="1" applyBorder="1" applyAlignment="1" applyProtection="1">
      <alignment/>
      <protection/>
    </xf>
    <xf numFmtId="166" fontId="0" fillId="0" borderId="57" xfId="39" applyNumberFormat="1" applyFont="1" applyBorder="1" applyAlignment="1" applyProtection="1">
      <alignment/>
      <protection/>
    </xf>
    <xf numFmtId="172" fontId="99" fillId="0" borderId="31" xfId="0" applyNumberFormat="1" applyFont="1" applyBorder="1" applyAlignment="1" applyProtection="1">
      <alignment/>
      <protection/>
    </xf>
    <xf numFmtId="0" fontId="92" fillId="0" borderId="41" xfId="0" applyFont="1" applyBorder="1" applyAlignment="1" applyProtection="1">
      <alignment horizontal="right"/>
      <protection/>
    </xf>
    <xf numFmtId="0" fontId="92" fillId="0" borderId="45" xfId="0" applyFont="1" applyBorder="1" applyAlignment="1" applyProtection="1">
      <alignment horizontal="right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5" fillId="0" borderId="36" xfId="0" applyFont="1" applyBorder="1" applyAlignment="1" applyProtection="1">
      <alignment horizontal="center"/>
      <protection/>
    </xf>
    <xf numFmtId="0" fontId="5" fillId="0" borderId="52" xfId="0" applyFont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166" fontId="92" fillId="35" borderId="10" xfId="0" applyNumberFormat="1" applyFont="1" applyFill="1" applyBorder="1" applyAlignment="1" applyProtection="1">
      <alignment horizontal="center"/>
      <protection/>
    </xf>
    <xf numFmtId="166" fontId="92" fillId="35" borderId="11" xfId="0" applyNumberFormat="1" applyFont="1" applyFill="1" applyBorder="1" applyAlignment="1" applyProtection="1">
      <alignment horizontal="center"/>
      <protection/>
    </xf>
    <xf numFmtId="166" fontId="92" fillId="35" borderId="17" xfId="0" applyNumberFormat="1" applyFont="1" applyFill="1" applyBorder="1" applyAlignment="1" applyProtection="1">
      <alignment horizontal="center"/>
      <protection/>
    </xf>
    <xf numFmtId="0" fontId="100" fillId="0" borderId="20" xfId="0" applyFont="1" applyBorder="1" applyAlignment="1" applyProtection="1">
      <alignment horizontal="center"/>
      <protection/>
    </xf>
    <xf numFmtId="0" fontId="100" fillId="0" borderId="13" xfId="0" applyFont="1" applyBorder="1" applyAlignment="1" applyProtection="1">
      <alignment horizontal="center"/>
      <protection/>
    </xf>
    <xf numFmtId="0" fontId="101" fillId="0" borderId="16" xfId="0" applyFont="1" applyBorder="1" applyAlignment="1" applyProtection="1">
      <alignment horizontal="center"/>
      <protection/>
    </xf>
    <xf numFmtId="0" fontId="101" fillId="0" borderId="0" xfId="0" applyFont="1" applyBorder="1" applyAlignment="1" applyProtection="1">
      <alignment horizontal="center"/>
      <protection/>
    </xf>
    <xf numFmtId="0" fontId="101" fillId="0" borderId="19" xfId="0" applyFont="1" applyBorder="1" applyAlignment="1" applyProtection="1">
      <alignment horizontal="center"/>
      <protection/>
    </xf>
    <xf numFmtId="6" fontId="102" fillId="0" borderId="0" xfId="0" applyNumberFormat="1" applyFont="1" applyBorder="1" applyAlignment="1" applyProtection="1">
      <alignment horizontal="center"/>
      <protection locked="0"/>
    </xf>
    <xf numFmtId="6" fontId="102" fillId="0" borderId="19" xfId="0" applyNumberFormat="1" applyFont="1" applyBorder="1" applyAlignment="1" applyProtection="1">
      <alignment horizontal="center"/>
      <protection locked="0"/>
    </xf>
    <xf numFmtId="0" fontId="103" fillId="0" borderId="0" xfId="0" applyFont="1" applyBorder="1" applyAlignment="1" applyProtection="1">
      <alignment horizontal="center" wrapText="1"/>
      <protection locked="0"/>
    </xf>
    <xf numFmtId="0" fontId="104" fillId="0" borderId="19" xfId="0" applyFont="1" applyBorder="1" applyAlignment="1" applyProtection="1">
      <alignment horizontal="center" wrapText="1"/>
      <protection locked="0"/>
    </xf>
    <xf numFmtId="0" fontId="104" fillId="0" borderId="0" xfId="0" applyFont="1" applyBorder="1" applyAlignment="1" applyProtection="1">
      <alignment horizontal="center" wrapText="1"/>
      <protection locked="0"/>
    </xf>
    <xf numFmtId="0" fontId="7" fillId="39" borderId="16" xfId="0" applyFont="1" applyFill="1" applyBorder="1" applyAlignment="1" applyProtection="1">
      <alignment horizontal="center"/>
      <protection hidden="1"/>
    </xf>
    <xf numFmtId="0" fontId="7" fillId="39" borderId="19" xfId="0" applyFont="1" applyFill="1" applyBorder="1" applyAlignment="1" applyProtection="1">
      <alignment horizontal="center"/>
      <protection hidden="1"/>
    </xf>
    <xf numFmtId="0" fontId="5" fillId="35" borderId="62" xfId="0" applyFont="1" applyFill="1" applyBorder="1" applyAlignment="1" applyProtection="1">
      <alignment horizontal="center"/>
      <protection/>
    </xf>
    <xf numFmtId="0" fontId="5" fillId="35" borderId="68" xfId="0" applyFont="1" applyFill="1" applyBorder="1" applyAlignment="1" applyProtection="1">
      <alignment horizontal="center"/>
      <protection/>
    </xf>
    <xf numFmtId="0" fontId="5" fillId="35" borderId="20" xfId="0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 applyProtection="1">
      <alignment horizontal="center"/>
      <protection/>
    </xf>
    <xf numFmtId="0" fontId="5" fillId="35" borderId="14" xfId="0" applyFont="1" applyFill="1" applyBorder="1" applyAlignment="1" applyProtection="1">
      <alignment horizontal="center"/>
      <protection/>
    </xf>
    <xf numFmtId="0" fontId="5" fillId="0" borderId="41" xfId="0" applyFont="1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center"/>
      <protection/>
    </xf>
    <xf numFmtId="0" fontId="5" fillId="0" borderId="73" xfId="0" applyFont="1" applyFill="1" applyBorder="1" applyAlignment="1" applyProtection="1">
      <alignment horizontal="center"/>
      <protection/>
    </xf>
    <xf numFmtId="0" fontId="92" fillId="0" borderId="31" xfId="0" applyFont="1" applyBorder="1" applyAlignment="1" applyProtection="1">
      <alignment horizontal="right"/>
      <protection/>
    </xf>
    <xf numFmtId="0" fontId="0" fillId="45" borderId="32" xfId="0" applyFill="1" applyBorder="1" applyAlignment="1" applyProtection="1">
      <alignment horizontal="right" vertical="center"/>
      <protection/>
    </xf>
    <xf numFmtId="0" fontId="0" fillId="45" borderId="33" xfId="0" applyFill="1" applyBorder="1" applyAlignment="1" applyProtection="1">
      <alignment horizontal="right" vertical="center"/>
      <protection/>
    </xf>
    <xf numFmtId="0" fontId="0" fillId="45" borderId="37" xfId="0" applyFill="1" applyBorder="1" applyAlignment="1" applyProtection="1">
      <alignment horizontal="right" vertical="center"/>
      <protection/>
    </xf>
    <xf numFmtId="0" fontId="95" fillId="0" borderId="31" xfId="0" applyFont="1" applyBorder="1" applyAlignment="1" applyProtection="1">
      <alignment horizontal="right"/>
      <protection/>
    </xf>
    <xf numFmtId="0" fontId="7" fillId="0" borderId="38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53" xfId="0" applyFont="1" applyFill="1" applyBorder="1" applyAlignment="1" applyProtection="1">
      <alignment horizontal="center" vertical="center"/>
      <protection hidden="1"/>
    </xf>
    <xf numFmtId="0" fontId="7" fillId="0" borderId="24" xfId="0" applyFont="1" applyFill="1" applyBorder="1" applyAlignment="1" applyProtection="1">
      <alignment horizontal="center" vertical="center"/>
      <protection hidden="1"/>
    </xf>
    <xf numFmtId="0" fontId="7" fillId="0" borderId="29" xfId="0" applyFont="1" applyFill="1" applyBorder="1" applyAlignment="1" applyProtection="1">
      <alignment horizontal="center" vertical="center"/>
      <protection hidden="1"/>
    </xf>
    <xf numFmtId="0" fontId="31" fillId="0" borderId="10" xfId="0" applyFont="1" applyFill="1" applyBorder="1" applyAlignment="1" applyProtection="1">
      <alignment horizontal="center"/>
      <protection/>
    </xf>
    <xf numFmtId="0" fontId="31" fillId="0" borderId="11" xfId="0" applyFont="1" applyFill="1" applyBorder="1" applyAlignment="1" applyProtection="1">
      <alignment horizontal="center"/>
      <protection/>
    </xf>
    <xf numFmtId="0" fontId="31" fillId="0" borderId="17" xfId="0" applyFont="1" applyFill="1" applyBorder="1" applyAlignment="1" applyProtection="1">
      <alignment horizontal="center"/>
      <protection/>
    </xf>
    <xf numFmtId="0" fontId="88" fillId="35" borderId="10" xfId="0" applyFont="1" applyFill="1" applyBorder="1" applyAlignment="1" applyProtection="1">
      <alignment horizontal="center"/>
      <protection/>
    </xf>
    <xf numFmtId="0" fontId="88" fillId="35" borderId="11" xfId="0" applyFont="1" applyFill="1" applyBorder="1" applyAlignment="1" applyProtection="1">
      <alignment horizontal="center"/>
      <protection/>
    </xf>
    <xf numFmtId="0" fontId="88" fillId="35" borderId="17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right"/>
      <protection/>
    </xf>
    <xf numFmtId="166" fontId="30" fillId="0" borderId="16" xfId="39" applyNumberFormat="1" applyFont="1" applyFill="1" applyBorder="1" applyAlignment="1" applyProtection="1">
      <alignment horizontal="center"/>
      <protection/>
    </xf>
    <xf numFmtId="166" fontId="30" fillId="0" borderId="0" xfId="39" applyNumberFormat="1" applyFont="1" applyFill="1" applyBorder="1" applyAlignment="1" applyProtection="1">
      <alignment horizontal="center"/>
      <protection/>
    </xf>
    <xf numFmtId="166" fontId="30" fillId="0" borderId="19" xfId="39" applyNumberFormat="1" applyFont="1" applyFill="1" applyBorder="1" applyAlignment="1" applyProtection="1">
      <alignment horizontal="center"/>
      <protection/>
    </xf>
    <xf numFmtId="166" fontId="30" fillId="0" borderId="32" xfId="39" applyNumberFormat="1" applyFont="1" applyFill="1" applyBorder="1" applyAlignment="1" applyProtection="1">
      <alignment horizontal="center"/>
      <protection/>
    </xf>
    <xf numFmtId="166" fontId="30" fillId="0" borderId="33" xfId="39" applyNumberFormat="1" applyFont="1" applyFill="1" applyBorder="1" applyAlignment="1" applyProtection="1">
      <alignment horizontal="center"/>
      <protection/>
    </xf>
    <xf numFmtId="166" fontId="30" fillId="0" borderId="34" xfId="39" applyNumberFormat="1" applyFont="1" applyFill="1" applyBorder="1" applyAlignment="1" applyProtection="1">
      <alignment horizontal="center"/>
      <protection/>
    </xf>
    <xf numFmtId="166" fontId="15" fillId="34" borderId="68" xfId="39" applyNumberFormat="1" applyFont="1" applyFill="1" applyBorder="1" applyAlignment="1" applyProtection="1">
      <alignment/>
      <protection locked="0"/>
    </xf>
    <xf numFmtId="166" fontId="15" fillId="34" borderId="13" xfId="39" applyNumberFormat="1" applyFont="1" applyFill="1" applyBorder="1" applyAlignment="1" applyProtection="1">
      <alignment/>
      <protection locked="0"/>
    </xf>
    <xf numFmtId="0" fontId="88" fillId="0" borderId="62" xfId="0" applyFont="1" applyFill="1" applyBorder="1" applyAlignment="1" applyProtection="1">
      <alignment horizontal="center"/>
      <protection hidden="1"/>
    </xf>
    <xf numFmtId="0" fontId="88" fillId="0" borderId="68" xfId="0" applyFont="1" applyFill="1" applyBorder="1" applyAlignment="1" applyProtection="1">
      <alignment horizontal="center"/>
      <protection hidden="1"/>
    </xf>
    <xf numFmtId="0" fontId="105" fillId="0" borderId="20" xfId="0" applyFont="1" applyBorder="1" applyAlignment="1" applyProtection="1">
      <alignment horizontal="center" wrapText="1"/>
      <protection locked="0"/>
    </xf>
    <xf numFmtId="0" fontId="105" fillId="0" borderId="13" xfId="0" applyFont="1" applyBorder="1" applyAlignment="1" applyProtection="1">
      <alignment horizontal="center" wrapText="1"/>
      <protection locked="0"/>
    </xf>
    <xf numFmtId="0" fontId="105" fillId="0" borderId="14" xfId="0" applyFont="1" applyBorder="1" applyAlignment="1" applyProtection="1">
      <alignment horizontal="center" wrapText="1"/>
      <protection locked="0"/>
    </xf>
    <xf numFmtId="0" fontId="106" fillId="0" borderId="16" xfId="0" applyFont="1" applyFill="1" applyBorder="1" applyAlignment="1" applyProtection="1">
      <alignment horizontal="center"/>
      <protection/>
    </xf>
    <xf numFmtId="0" fontId="106" fillId="0" borderId="0" xfId="0" applyFont="1" applyFill="1" applyBorder="1" applyAlignment="1" applyProtection="1">
      <alignment horizontal="center"/>
      <protection/>
    </xf>
    <xf numFmtId="0" fontId="106" fillId="0" borderId="19" xfId="0" applyFont="1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0" fillId="43" borderId="32" xfId="0" applyFill="1" applyBorder="1" applyAlignment="1" applyProtection="1">
      <alignment/>
      <protection/>
    </xf>
    <xf numFmtId="0" fontId="0" fillId="43" borderId="33" xfId="0" applyFill="1" applyBorder="1" applyAlignment="1" applyProtection="1">
      <alignment/>
      <protection/>
    </xf>
    <xf numFmtId="0" fontId="0" fillId="43" borderId="34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43" borderId="68" xfId="0" applyFill="1" applyBorder="1" applyAlignment="1" applyProtection="1">
      <alignment horizontal="left"/>
      <protection/>
    </xf>
    <xf numFmtId="0" fontId="0" fillId="43" borderId="74" xfId="0" applyFill="1" applyBorder="1" applyAlignment="1" applyProtection="1">
      <alignment horizontal="left"/>
      <protection/>
    </xf>
    <xf numFmtId="0" fontId="0" fillId="43" borderId="26" xfId="0" applyFill="1" applyBorder="1" applyAlignment="1" applyProtection="1">
      <alignment horizontal="left"/>
      <protection/>
    </xf>
    <xf numFmtId="0" fontId="0" fillId="43" borderId="27" xfId="0" applyFill="1" applyBorder="1" applyAlignment="1" applyProtection="1">
      <alignment horizontal="left"/>
      <protection/>
    </xf>
    <xf numFmtId="0" fontId="0" fillId="43" borderId="16" xfId="0" applyFill="1" applyBorder="1" applyAlignment="1" applyProtection="1">
      <alignment horizontal="left"/>
      <protection/>
    </xf>
    <xf numFmtId="0" fontId="0" fillId="43" borderId="0" xfId="0" applyFill="1" applyBorder="1" applyAlignment="1" applyProtection="1">
      <alignment horizontal="left"/>
      <protection/>
    </xf>
    <xf numFmtId="0" fontId="0" fillId="43" borderId="19" xfId="0" applyFill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dej@meteorcar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00"/>
  <sheetViews>
    <sheetView tabSelected="1" zoomScale="115" zoomScaleNormal="115" workbookViewId="0" topLeftCell="U31">
      <selection activeCell="W35" sqref="W35:Z35"/>
    </sheetView>
  </sheetViews>
  <sheetFormatPr defaultColWidth="12.75390625" defaultRowHeight="12.75"/>
  <cols>
    <col min="1" max="1" width="23.375" style="1" hidden="1" customWidth="1"/>
    <col min="2" max="2" width="24.75390625" style="1" hidden="1" customWidth="1"/>
    <col min="3" max="3" width="22.625" style="1" hidden="1" customWidth="1"/>
    <col min="4" max="8" width="12.75390625" style="1" hidden="1" customWidth="1"/>
    <col min="9" max="14" width="12.75390625" style="2" hidden="1" customWidth="1"/>
    <col min="15" max="19" width="12.75390625" style="1" hidden="1" customWidth="1"/>
    <col min="20" max="20" width="13.00390625" style="1" hidden="1" customWidth="1"/>
    <col min="21" max="21" width="12.75390625" style="1" customWidth="1"/>
    <col min="22" max="22" width="18.125" style="1" customWidth="1"/>
    <col min="23" max="23" width="12.875" style="1" customWidth="1"/>
    <col min="24" max="24" width="11.25390625" style="1" customWidth="1"/>
    <col min="25" max="26" width="11.25390625" style="34" customWidth="1"/>
    <col min="27" max="27" width="11.25390625" style="1" customWidth="1"/>
    <col min="28" max="28" width="11.00390625" style="1" customWidth="1"/>
    <col min="29" max="29" width="5.25390625" style="1" customWidth="1"/>
    <col min="30" max="43" width="12.75390625" style="1" hidden="1" customWidth="1"/>
    <col min="44" max="44" width="1.00390625" style="1" hidden="1" customWidth="1"/>
    <col min="45" max="45" width="10.375" style="1" hidden="1" customWidth="1"/>
    <col min="46" max="48" width="12.75390625" style="1" hidden="1" customWidth="1"/>
    <col min="49" max="49" width="12.75390625" style="34" customWidth="1"/>
    <col min="50" max="16384" width="12.75390625" style="1" customWidth="1"/>
  </cols>
  <sheetData>
    <row r="1" spans="21:28" ht="42" customHeight="1" thickBot="1">
      <c r="U1" s="456" t="s">
        <v>153</v>
      </c>
      <c r="V1" s="457"/>
      <c r="W1" s="457"/>
      <c r="X1" s="457"/>
      <c r="Y1" s="457"/>
      <c r="Z1" s="457"/>
      <c r="AA1" s="457"/>
      <c r="AB1" s="458"/>
    </row>
    <row r="2" spans="21:28" ht="20.25" customHeight="1" thickBot="1">
      <c r="U2" s="459" t="s">
        <v>165</v>
      </c>
      <c r="V2" s="460"/>
      <c r="W2" s="460"/>
      <c r="X2" s="460"/>
      <c r="Y2" s="460"/>
      <c r="Z2" s="460"/>
      <c r="AA2" s="460"/>
      <c r="AB2" s="461"/>
    </row>
    <row r="3" spans="1:28" ht="21" thickBot="1">
      <c r="A3" s="3" t="s">
        <v>42</v>
      </c>
      <c r="B3" s="4"/>
      <c r="C3" s="4"/>
      <c r="D3" s="5">
        <v>270000</v>
      </c>
      <c r="E3" s="6" t="s">
        <v>44</v>
      </c>
      <c r="F3" s="7"/>
      <c r="G3" s="7"/>
      <c r="H3" s="8"/>
      <c r="I3" s="9" t="s">
        <v>112</v>
      </c>
      <c r="J3" s="10"/>
      <c r="K3" s="10"/>
      <c r="L3" s="10"/>
      <c r="M3" s="10"/>
      <c r="T3" s="11"/>
      <c r="U3" s="472" t="s">
        <v>166</v>
      </c>
      <c r="V3" s="473"/>
      <c r="W3" s="470">
        <v>210000</v>
      </c>
      <c r="X3" s="471"/>
      <c r="Y3" s="321" t="s">
        <v>12</v>
      </c>
      <c r="Z3" s="342" t="str">
        <f>+O13</f>
        <v>Citroën Vital</v>
      </c>
      <c r="AA3" s="12"/>
      <c r="AB3" s="13"/>
    </row>
    <row r="4" spans="1:28" ht="21" thickBot="1">
      <c r="A4" s="14" t="s">
        <v>43</v>
      </c>
      <c r="B4" s="15"/>
      <c r="C4" s="15"/>
      <c r="D4" s="16"/>
      <c r="E4" s="17"/>
      <c r="F4" s="18" t="s">
        <v>56</v>
      </c>
      <c r="G4" s="19" t="str">
        <f>+O13</f>
        <v>Citroën Vital</v>
      </c>
      <c r="H4" s="20"/>
      <c r="I4" s="21" t="s">
        <v>111</v>
      </c>
      <c r="J4" s="10"/>
      <c r="K4" s="10"/>
      <c r="L4" s="10"/>
      <c r="M4" s="10"/>
      <c r="U4" s="311" t="str">
        <f>+O11</f>
        <v>METEOR CAR   735 14  ORLOVÁ - Lutyně</v>
      </c>
      <c r="V4" s="312"/>
      <c r="W4" s="313"/>
      <c r="X4" s="450" t="s">
        <v>144</v>
      </c>
      <c r="Y4" s="451"/>
      <c r="Z4" s="451"/>
      <c r="AA4" s="451"/>
      <c r="AB4" s="452"/>
    </row>
    <row r="5" spans="1:28" ht="20.25">
      <c r="A5" s="23"/>
      <c r="B5" s="24"/>
      <c r="C5" s="25"/>
      <c r="D5" s="25"/>
      <c r="E5" s="25"/>
      <c r="F5" s="26"/>
      <c r="G5" s="26"/>
      <c r="H5" s="26"/>
      <c r="I5" s="27"/>
      <c r="J5" s="10"/>
      <c r="K5" s="10"/>
      <c r="L5" s="10"/>
      <c r="M5" s="10"/>
      <c r="U5" s="314" t="str">
        <f>+O12</f>
        <v>Okružní č.p. 1418 (naproti Kauflandu)</v>
      </c>
      <c r="V5" s="166"/>
      <c r="W5" s="315"/>
      <c r="X5" s="453"/>
      <c r="Y5" s="454"/>
      <c r="Z5" s="454"/>
      <c r="AA5" s="454"/>
      <c r="AB5" s="455"/>
    </row>
    <row r="6" spans="1:28" ht="20.25">
      <c r="A6" s="28"/>
      <c r="B6" s="29" t="s">
        <v>110</v>
      </c>
      <c r="C6" s="30"/>
      <c r="D6" s="30"/>
      <c r="E6" s="30"/>
      <c r="F6" s="30"/>
      <c r="G6" s="31" t="s">
        <v>106</v>
      </c>
      <c r="H6" s="32"/>
      <c r="I6" s="33"/>
      <c r="J6" s="10"/>
      <c r="K6" s="10"/>
      <c r="L6" s="10"/>
      <c r="M6" s="10"/>
      <c r="U6" s="316" t="s">
        <v>10</v>
      </c>
      <c r="V6" s="317">
        <f>+O10</f>
        <v>777071072</v>
      </c>
      <c r="W6" s="315"/>
      <c r="X6" s="166"/>
      <c r="Y6" s="166"/>
      <c r="Z6" s="166"/>
      <c r="AA6" s="166"/>
      <c r="AB6" s="167"/>
    </row>
    <row r="7" spans="1:28" ht="15.75" thickBot="1">
      <c r="A7" s="35"/>
      <c r="B7" s="36" t="s">
        <v>108</v>
      </c>
      <c r="C7" s="37" t="str">
        <f>+O9</f>
        <v>prodej@meteorcar.cz</v>
      </c>
      <c r="D7" s="30"/>
      <c r="E7" s="30"/>
      <c r="F7" s="30"/>
      <c r="G7" s="30"/>
      <c r="H7" s="32"/>
      <c r="I7" s="27"/>
      <c r="J7" s="10"/>
      <c r="K7" s="10"/>
      <c r="L7" s="10"/>
      <c r="M7" s="10"/>
      <c r="U7" s="318" t="s">
        <v>104</v>
      </c>
      <c r="V7" s="319" t="str">
        <f>+O9</f>
        <v>prodej@meteorcar.cz</v>
      </c>
      <c r="W7" s="315"/>
      <c r="X7" s="166"/>
      <c r="Y7" s="166"/>
      <c r="Z7" s="166"/>
      <c r="AA7" s="166"/>
      <c r="AB7" s="167"/>
    </row>
    <row r="8" spans="1:28" ht="16.5" customHeight="1">
      <c r="A8" s="35"/>
      <c r="B8" s="36" t="s">
        <v>23</v>
      </c>
      <c r="C8" s="38">
        <f>+O10</f>
        <v>777071072</v>
      </c>
      <c r="D8" s="30"/>
      <c r="E8" s="30"/>
      <c r="F8" s="30"/>
      <c r="G8" s="30"/>
      <c r="H8" s="32"/>
      <c r="I8" s="27"/>
      <c r="J8" s="10"/>
      <c r="K8" s="10"/>
      <c r="L8" s="10"/>
      <c r="M8" s="10"/>
      <c r="N8" s="39" t="s">
        <v>9</v>
      </c>
      <c r="O8" s="40" t="s">
        <v>161</v>
      </c>
      <c r="P8" s="41"/>
      <c r="Q8" s="42"/>
      <c r="U8" s="462"/>
      <c r="V8" s="463"/>
      <c r="W8" s="320"/>
      <c r="X8" s="329"/>
      <c r="Y8" s="410" t="s">
        <v>154</v>
      </c>
      <c r="Z8" s="411"/>
      <c r="AA8" s="412"/>
      <c r="AB8" s="22"/>
    </row>
    <row r="9" spans="1:28" ht="16.5">
      <c r="A9" s="35"/>
      <c r="B9" s="36" t="s">
        <v>24</v>
      </c>
      <c r="C9" s="43" t="str">
        <f>+O11</f>
        <v>METEOR CAR   735 14  ORLOVÁ - Lutyně</v>
      </c>
      <c r="D9" s="30"/>
      <c r="E9" s="30"/>
      <c r="F9" s="30"/>
      <c r="G9" s="30"/>
      <c r="H9" s="32"/>
      <c r="I9" s="27"/>
      <c r="J9" s="10"/>
      <c r="K9" s="10"/>
      <c r="L9" s="10"/>
      <c r="M9" s="10"/>
      <c r="N9" s="44" t="s">
        <v>104</v>
      </c>
      <c r="O9" s="45" t="s">
        <v>168</v>
      </c>
      <c r="P9" s="34"/>
      <c r="Q9" s="22"/>
      <c r="U9" s="46"/>
      <c r="V9" s="47"/>
      <c r="W9" s="63"/>
      <c r="X9" s="329"/>
      <c r="Y9" s="413"/>
      <c r="Z9" s="414"/>
      <c r="AA9" s="415"/>
      <c r="AB9" s="22"/>
    </row>
    <row r="10" spans="1:28" ht="19.5" customHeight="1">
      <c r="A10" s="35"/>
      <c r="B10" s="30"/>
      <c r="C10" s="49" t="str">
        <f>+O12</f>
        <v>Okružní č.p. 1418 (naproti Kauflandu)</v>
      </c>
      <c r="D10" s="30"/>
      <c r="E10" s="30"/>
      <c r="F10" s="30"/>
      <c r="G10" s="30"/>
      <c r="H10" s="32"/>
      <c r="I10" s="27"/>
      <c r="J10" s="10"/>
      <c r="K10" s="10"/>
      <c r="L10" s="10"/>
      <c r="M10" s="10"/>
      <c r="N10" s="44" t="s">
        <v>10</v>
      </c>
      <c r="O10" s="366">
        <v>777071072</v>
      </c>
      <c r="P10" s="51"/>
      <c r="Q10" s="52"/>
      <c r="U10" s="480" t="s">
        <v>118</v>
      </c>
      <c r="V10" s="481"/>
      <c r="W10" s="322">
        <f>+W3</f>
        <v>210000</v>
      </c>
      <c r="X10" s="331" t="s">
        <v>119</v>
      </c>
      <c r="Y10" s="464">
        <f>+W3/(X11+100)*X11</f>
        <v>36446.28099173554</v>
      </c>
      <c r="Z10" s="465"/>
      <c r="AA10" s="466"/>
      <c r="AB10" s="22"/>
    </row>
    <row r="11" spans="1:28" ht="17.25" customHeight="1" thickBot="1">
      <c r="A11" s="53"/>
      <c r="B11" s="26" t="s">
        <v>0</v>
      </c>
      <c r="C11" s="54" t="str">
        <f>+O20</f>
        <v>CITROEN</v>
      </c>
      <c r="D11" s="55"/>
      <c r="E11" s="56" t="s">
        <v>7</v>
      </c>
      <c r="F11" s="56"/>
      <c r="G11" s="57">
        <f>+O14</f>
        <v>36</v>
      </c>
      <c r="H11" s="26"/>
      <c r="I11" s="27"/>
      <c r="J11" s="10"/>
      <c r="K11" s="10"/>
      <c r="L11" s="10"/>
      <c r="M11" s="10"/>
      <c r="N11" s="44" t="s">
        <v>11</v>
      </c>
      <c r="O11" s="50" t="s">
        <v>21</v>
      </c>
      <c r="P11" s="51"/>
      <c r="Q11" s="52"/>
      <c r="U11" s="420" t="s">
        <v>117</v>
      </c>
      <c r="V11" s="421"/>
      <c r="W11" s="403">
        <f>+W3/1.21</f>
        <v>173553.71900826448</v>
      </c>
      <c r="X11" s="404">
        <f>+O15</f>
        <v>21</v>
      </c>
      <c r="Y11" s="467"/>
      <c r="Z11" s="468"/>
      <c r="AA11" s="469"/>
      <c r="AB11" s="22"/>
    </row>
    <row r="12" spans="1:28" ht="12.75">
      <c r="A12" s="53"/>
      <c r="B12" s="26" t="s">
        <v>2</v>
      </c>
      <c r="C12" s="58"/>
      <c r="D12" s="59"/>
      <c r="E12" s="26" t="s">
        <v>30</v>
      </c>
      <c r="F12" s="26"/>
      <c r="G12" s="60">
        <v>0</v>
      </c>
      <c r="H12" s="26"/>
      <c r="I12" s="27"/>
      <c r="J12" s="10"/>
      <c r="K12" s="10"/>
      <c r="L12" s="10"/>
      <c r="M12" s="10"/>
      <c r="N12" s="61"/>
      <c r="O12" s="62" t="s">
        <v>143</v>
      </c>
      <c r="P12" s="63"/>
      <c r="Q12" s="64"/>
      <c r="U12" s="416" t="s">
        <v>115</v>
      </c>
      <c r="V12" s="417"/>
      <c r="W12" s="417"/>
      <c r="X12" s="405">
        <v>1E-06</v>
      </c>
      <c r="AA12" s="34"/>
      <c r="AB12" s="22"/>
    </row>
    <row r="13" spans="1:33" ht="16.5" thickBot="1">
      <c r="A13" s="53"/>
      <c r="B13" s="65" t="s">
        <v>3</v>
      </c>
      <c r="C13" s="26" t="s">
        <v>4</v>
      </c>
      <c r="D13" s="66">
        <f>+D14/1.19</f>
        <v>226890.756302521</v>
      </c>
      <c r="E13" s="67" t="s">
        <v>34</v>
      </c>
      <c r="F13" s="67"/>
      <c r="G13" s="68">
        <f>+G12*1.19</f>
        <v>0</v>
      </c>
      <c r="H13" s="26"/>
      <c r="I13" s="27"/>
      <c r="J13" s="10"/>
      <c r="K13" s="10"/>
      <c r="L13" s="10"/>
      <c r="M13" s="10"/>
      <c r="N13" s="69" t="s">
        <v>12</v>
      </c>
      <c r="O13" s="367" t="s">
        <v>169</v>
      </c>
      <c r="P13" s="34" t="s">
        <v>114</v>
      </c>
      <c r="Q13" s="71">
        <v>608180090</v>
      </c>
      <c r="U13" s="418" t="s">
        <v>124</v>
      </c>
      <c r="V13" s="419"/>
      <c r="W13" s="419"/>
      <c r="X13" s="406">
        <v>1E-06</v>
      </c>
      <c r="Y13" s="330"/>
      <c r="AA13" s="34"/>
      <c r="AB13" s="22"/>
      <c r="AG13" s="72">
        <v>270000</v>
      </c>
    </row>
    <row r="14" spans="1:33" ht="15.75" thickBot="1">
      <c r="A14" s="53"/>
      <c r="B14" s="26"/>
      <c r="C14" s="26" t="s">
        <v>5</v>
      </c>
      <c r="D14" s="73">
        <f>+D3</f>
        <v>270000</v>
      </c>
      <c r="E14" s="26" t="s">
        <v>109</v>
      </c>
      <c r="F14" s="26"/>
      <c r="G14" s="74">
        <f>+O23*D14/100*1.19</f>
        <v>0</v>
      </c>
      <c r="H14" s="26"/>
      <c r="I14" s="27"/>
      <c r="J14" s="10"/>
      <c r="K14" s="10"/>
      <c r="L14" s="10"/>
      <c r="M14" s="10"/>
      <c r="N14" s="69" t="s">
        <v>107</v>
      </c>
      <c r="O14" s="75">
        <v>36</v>
      </c>
      <c r="P14" s="76"/>
      <c r="Q14" s="77"/>
      <c r="U14" s="78"/>
      <c r="V14" s="34"/>
      <c r="W14" s="34"/>
      <c r="X14" s="34"/>
      <c r="AA14" s="34"/>
      <c r="AB14" s="22"/>
      <c r="AE14" s="1" t="s">
        <v>126</v>
      </c>
      <c r="AG14" s="72" t="s">
        <v>128</v>
      </c>
    </row>
    <row r="15" spans="1:28" ht="13.5" thickBot="1">
      <c r="A15" s="79"/>
      <c r="B15" s="80"/>
      <c r="C15" s="81"/>
      <c r="D15" s="82"/>
      <c r="E15" s="81"/>
      <c r="F15" s="81"/>
      <c r="G15" s="81"/>
      <c r="H15" s="82"/>
      <c r="I15" s="83"/>
      <c r="J15" s="10"/>
      <c r="K15" s="10"/>
      <c r="L15" s="10"/>
      <c r="M15" s="10"/>
      <c r="N15" s="44" t="s">
        <v>13</v>
      </c>
      <c r="O15" s="84">
        <v>21</v>
      </c>
      <c r="P15" s="34"/>
      <c r="Q15" s="22"/>
      <c r="R15" s="11"/>
      <c r="U15" s="78"/>
      <c r="V15" s="34"/>
      <c r="W15" s="439" t="s">
        <v>116</v>
      </c>
      <c r="X15" s="440"/>
      <c r="Y15" s="440"/>
      <c r="Z15" s="440"/>
      <c r="AA15" s="440"/>
      <c r="AB15" s="441"/>
    </row>
    <row r="16" spans="1:49" s="99" customFormat="1" ht="12.75">
      <c r="A16" s="85" t="s">
        <v>51</v>
      </c>
      <c r="B16" s="86"/>
      <c r="C16" s="87"/>
      <c r="D16" s="88" t="s">
        <v>95</v>
      </c>
      <c r="E16" s="89" t="s">
        <v>35</v>
      </c>
      <c r="F16" s="88" t="s">
        <v>92</v>
      </c>
      <c r="G16" s="90" t="s">
        <v>31</v>
      </c>
      <c r="H16" s="91" t="s">
        <v>49</v>
      </c>
      <c r="I16" s="92" t="s">
        <v>33</v>
      </c>
      <c r="J16" s="93" t="s">
        <v>26</v>
      </c>
      <c r="K16" s="93" t="s">
        <v>29</v>
      </c>
      <c r="L16" s="93" t="s">
        <v>40</v>
      </c>
      <c r="M16" s="93" t="s">
        <v>31</v>
      </c>
      <c r="N16" s="94" t="s">
        <v>14</v>
      </c>
      <c r="O16" s="95">
        <v>21</v>
      </c>
      <c r="P16" s="96"/>
      <c r="Q16" s="97"/>
      <c r="R16" s="98"/>
      <c r="U16" s="437" t="str">
        <f>+B17</f>
        <v>Platba předem (akontace)</v>
      </c>
      <c r="V16" s="438"/>
      <c r="W16" s="442" t="s">
        <v>141</v>
      </c>
      <c r="X16" s="443"/>
      <c r="Y16" s="443"/>
      <c r="Z16" s="443"/>
      <c r="AA16" s="443"/>
      <c r="AB16" s="444"/>
      <c r="AG16" s="100" t="s">
        <v>105</v>
      </c>
      <c r="AI16" s="100" t="s">
        <v>105</v>
      </c>
      <c r="AK16" s="100" t="s">
        <v>105</v>
      </c>
      <c r="AM16" s="100" t="s">
        <v>105</v>
      </c>
      <c r="AO16" s="100" t="s">
        <v>127</v>
      </c>
      <c r="AQ16" s="100" t="s">
        <v>105</v>
      </c>
      <c r="AW16" s="98"/>
    </row>
    <row r="17" spans="1:43" ht="19.5" thickBot="1">
      <c r="A17" s="101" t="s">
        <v>47</v>
      </c>
      <c r="B17" s="435" t="s">
        <v>125</v>
      </c>
      <c r="C17" s="436"/>
      <c r="D17" s="88" t="s">
        <v>93</v>
      </c>
      <c r="E17" s="102" t="str">
        <f>+Q19</f>
        <v>ALLIANZ</v>
      </c>
      <c r="F17" s="88" t="s">
        <v>93</v>
      </c>
      <c r="G17" s="103" t="s">
        <v>38</v>
      </c>
      <c r="H17" s="91" t="s">
        <v>48</v>
      </c>
      <c r="I17" s="104" t="s">
        <v>4</v>
      </c>
      <c r="J17" s="93" t="s">
        <v>27</v>
      </c>
      <c r="K17" s="93" t="s">
        <v>28</v>
      </c>
      <c r="L17" s="93" t="s">
        <v>32</v>
      </c>
      <c r="M17" s="93" t="s">
        <v>32</v>
      </c>
      <c r="N17" s="105"/>
      <c r="O17" s="106" t="s">
        <v>6</v>
      </c>
      <c r="P17" s="107" t="s">
        <v>120</v>
      </c>
      <c r="Q17" s="108">
        <v>0</v>
      </c>
      <c r="U17" s="109" t="s">
        <v>105</v>
      </c>
      <c r="V17" s="110" t="s">
        <v>63</v>
      </c>
      <c r="W17" s="111" t="s">
        <v>135</v>
      </c>
      <c r="X17" s="323" t="s">
        <v>136</v>
      </c>
      <c r="Y17" s="323" t="s">
        <v>137</v>
      </c>
      <c r="Z17" s="323" t="s">
        <v>138</v>
      </c>
      <c r="AA17" s="323" t="s">
        <v>139</v>
      </c>
      <c r="AB17" s="324" t="s">
        <v>140</v>
      </c>
      <c r="AD17" s="112" t="s">
        <v>105</v>
      </c>
      <c r="AE17" s="113" t="s">
        <v>63</v>
      </c>
      <c r="AF17" s="114">
        <v>12</v>
      </c>
      <c r="AG17" s="115">
        <v>12</v>
      </c>
      <c r="AH17" s="115">
        <v>24</v>
      </c>
      <c r="AI17" s="115">
        <v>24</v>
      </c>
      <c r="AJ17" s="116">
        <v>36</v>
      </c>
      <c r="AK17" s="337">
        <v>36</v>
      </c>
      <c r="AL17" s="114">
        <v>48</v>
      </c>
      <c r="AM17" s="115">
        <v>48</v>
      </c>
      <c r="AN17" s="115">
        <v>60</v>
      </c>
      <c r="AO17" s="115">
        <v>60</v>
      </c>
      <c r="AP17" s="116">
        <v>72</v>
      </c>
      <c r="AQ17" s="337">
        <v>72</v>
      </c>
    </row>
    <row r="18" spans="1:43" ht="13.5" thickBot="1">
      <c r="A18" s="117" t="s">
        <v>52</v>
      </c>
      <c r="B18" s="118" t="s">
        <v>4</v>
      </c>
      <c r="C18" s="119" t="s">
        <v>50</v>
      </c>
      <c r="D18" s="120" t="s">
        <v>36</v>
      </c>
      <c r="E18" s="121">
        <f>+Q20</f>
        <v>0.0255</v>
      </c>
      <c r="F18" s="122" t="s">
        <v>94</v>
      </c>
      <c r="G18" s="123" t="s">
        <v>39</v>
      </c>
      <c r="H18" s="124" t="s">
        <v>53</v>
      </c>
      <c r="I18" s="125" t="s">
        <v>8</v>
      </c>
      <c r="J18" s="126">
        <f>+O15</f>
        <v>21</v>
      </c>
      <c r="K18" s="126">
        <f>+O16</f>
        <v>21</v>
      </c>
      <c r="L18" s="127" t="s">
        <v>4</v>
      </c>
      <c r="M18" s="93" t="s">
        <v>6</v>
      </c>
      <c r="N18" s="128"/>
      <c r="P18" s="34"/>
      <c r="Q18" s="22"/>
      <c r="U18" s="129">
        <f>+N25</f>
        <v>0</v>
      </c>
      <c r="V18" s="130">
        <f aca="true" t="shared" si="0" ref="V18:V24">+W$3*U18/100</f>
        <v>0</v>
      </c>
      <c r="W18" s="400">
        <f aca="true" t="shared" si="1" ref="W18:AB18">+$W$10*O25/100</f>
        <v>18736.666666666668</v>
      </c>
      <c r="X18" s="401">
        <f t="shared" si="1"/>
        <v>9644.444444444443</v>
      </c>
      <c r="Y18" s="401">
        <f t="shared" si="1"/>
        <v>6616.555555555555</v>
      </c>
      <c r="Z18" s="401">
        <f t="shared" si="1"/>
        <v>5106.111111111111</v>
      </c>
      <c r="AA18" s="401">
        <f t="shared" si="1"/>
        <v>4201.555555555556</v>
      </c>
      <c r="AB18" s="402">
        <f t="shared" si="1"/>
        <v>3599.5555555555557</v>
      </c>
      <c r="AD18" s="129">
        <v>0</v>
      </c>
      <c r="AE18" s="131"/>
      <c r="AF18" s="334">
        <v>24090</v>
      </c>
      <c r="AG18" s="336">
        <f aca="true" t="shared" si="2" ref="AG18:AG25">+AF18*100/AG$13</f>
        <v>8.922222222222222</v>
      </c>
      <c r="AH18" s="335">
        <v>12400</v>
      </c>
      <c r="AI18" s="336">
        <f>+AH18*100/$AG$13</f>
        <v>4.592592592592593</v>
      </c>
      <c r="AJ18" s="334">
        <v>8507</v>
      </c>
      <c r="AK18" s="336">
        <f>+AJ18*100/$AG$13</f>
        <v>3.1507407407407406</v>
      </c>
      <c r="AL18" s="334">
        <v>6565</v>
      </c>
      <c r="AM18" s="336">
        <f>+AL18*100/$AG$13</f>
        <v>2.4314814814814816</v>
      </c>
      <c r="AN18" s="334">
        <v>5402</v>
      </c>
      <c r="AO18" s="336">
        <f>+AN18*100/$AG$13</f>
        <v>2.0007407407407407</v>
      </c>
      <c r="AP18" s="334">
        <v>4628</v>
      </c>
      <c r="AQ18" s="336">
        <f>+AP18*100/$AG$13</f>
        <v>1.714074074074074</v>
      </c>
    </row>
    <row r="19" spans="1:43" ht="12.75">
      <c r="A19" s="132"/>
      <c r="B19" s="133"/>
      <c r="C19" s="134"/>
      <c r="D19" s="135"/>
      <c r="E19" s="136"/>
      <c r="F19" s="137"/>
      <c r="G19" s="138"/>
      <c r="H19" s="139"/>
      <c r="I19" s="140"/>
      <c r="J19" s="141"/>
      <c r="K19" s="142"/>
      <c r="L19" s="143"/>
      <c r="M19" s="144"/>
      <c r="N19" s="69" t="s">
        <v>15</v>
      </c>
      <c r="O19" s="145">
        <v>0</v>
      </c>
      <c r="P19" s="107" t="s">
        <v>22</v>
      </c>
      <c r="Q19" s="146" t="s">
        <v>113</v>
      </c>
      <c r="U19" s="147">
        <f>+N27</f>
        <v>10</v>
      </c>
      <c r="V19" s="148">
        <f t="shared" si="0"/>
        <v>21000</v>
      </c>
      <c r="W19" s="400">
        <f aca="true" t="shared" si="3" ref="W19:AB19">+$W$10*O27/100</f>
        <v>16862.999999999996</v>
      </c>
      <c r="X19" s="401">
        <f t="shared" si="3"/>
        <v>8680.000000000002</v>
      </c>
      <c r="Y19" s="401">
        <f t="shared" si="3"/>
        <v>5955.444444444443</v>
      </c>
      <c r="Z19" s="401">
        <f t="shared" si="3"/>
        <v>4595.11111111111</v>
      </c>
      <c r="AA19" s="401">
        <f t="shared" si="3"/>
        <v>3780.7777777777783</v>
      </c>
      <c r="AB19" s="402">
        <f t="shared" si="3"/>
        <v>3240.2222222222217</v>
      </c>
      <c r="AD19" s="149">
        <v>10</v>
      </c>
      <c r="AE19" s="148"/>
      <c r="AF19" s="334">
        <v>21681</v>
      </c>
      <c r="AG19" s="336">
        <f t="shared" si="2"/>
        <v>8.03</v>
      </c>
      <c r="AH19" s="334">
        <v>11160</v>
      </c>
      <c r="AI19" s="336">
        <f aca="true" t="shared" si="4" ref="AI19:AI25">+AH19*100/$AG$13</f>
        <v>4.133333333333334</v>
      </c>
      <c r="AJ19" s="334">
        <v>7657</v>
      </c>
      <c r="AK19" s="336">
        <f aca="true" t="shared" si="5" ref="AK19:AK25">+AJ19*100/$AG$13</f>
        <v>2.8359259259259257</v>
      </c>
      <c r="AL19" s="334">
        <v>5908</v>
      </c>
      <c r="AM19" s="336">
        <f aca="true" t="shared" si="6" ref="AM19:AM25">+AL19*100/$AG$13</f>
        <v>2.188148148148148</v>
      </c>
      <c r="AN19" s="334">
        <v>4861</v>
      </c>
      <c r="AO19" s="336">
        <f aca="true" t="shared" si="7" ref="AO19:AO25">+AN19*100/$AG$13</f>
        <v>1.8003703703703704</v>
      </c>
      <c r="AP19" s="334">
        <v>4166</v>
      </c>
      <c r="AQ19" s="336">
        <f aca="true" t="shared" si="8" ref="AQ19:AQ25">+AP19*100/$AG$13</f>
        <v>1.5429629629629629</v>
      </c>
    </row>
    <row r="20" spans="1:43" ht="12.75">
      <c r="A20" s="150"/>
      <c r="B20" s="151"/>
      <c r="C20" s="152"/>
      <c r="D20" s="153"/>
      <c r="E20" s="154"/>
      <c r="F20" s="152"/>
      <c r="G20" s="155"/>
      <c r="H20" s="156"/>
      <c r="I20" s="140"/>
      <c r="J20" s="141"/>
      <c r="K20" s="142"/>
      <c r="L20" s="143"/>
      <c r="M20" s="144"/>
      <c r="N20" s="69" t="s">
        <v>16</v>
      </c>
      <c r="O20" s="157" t="s">
        <v>1</v>
      </c>
      <c r="P20" s="158" t="s">
        <v>46</v>
      </c>
      <c r="Q20" s="159">
        <v>0.0255</v>
      </c>
      <c r="U20" s="147">
        <f>+N29</f>
        <v>20</v>
      </c>
      <c r="V20" s="148">
        <f t="shared" si="0"/>
        <v>42000</v>
      </c>
      <c r="W20" s="400">
        <f aca="true" t="shared" si="9" ref="W20:AB20">+$W$10*O29/100</f>
        <v>14989.333333333336</v>
      </c>
      <c r="X20" s="401">
        <f t="shared" si="9"/>
        <v>7715.555555555555</v>
      </c>
      <c r="Y20" s="401">
        <f t="shared" si="9"/>
        <v>5293.555555555555</v>
      </c>
      <c r="Z20" s="401">
        <f t="shared" si="9"/>
        <v>4084.8888888888887</v>
      </c>
      <c r="AA20" s="401">
        <f t="shared" si="9"/>
        <v>3360.7777777777783</v>
      </c>
      <c r="AB20" s="402">
        <f t="shared" si="9"/>
        <v>2880.1111111111113</v>
      </c>
      <c r="AD20" s="149">
        <v>20</v>
      </c>
      <c r="AE20" s="148"/>
      <c r="AF20" s="334">
        <v>19272</v>
      </c>
      <c r="AG20" s="336">
        <f t="shared" si="2"/>
        <v>7.137777777777778</v>
      </c>
      <c r="AH20" s="334">
        <v>9920</v>
      </c>
      <c r="AI20" s="336">
        <f t="shared" si="4"/>
        <v>3.674074074074074</v>
      </c>
      <c r="AJ20" s="334">
        <v>6806</v>
      </c>
      <c r="AK20" s="336">
        <f t="shared" si="5"/>
        <v>2.5207407407407407</v>
      </c>
      <c r="AL20" s="334">
        <v>5252</v>
      </c>
      <c r="AM20" s="336">
        <f t="shared" si="6"/>
        <v>1.9451851851851851</v>
      </c>
      <c r="AN20" s="334">
        <v>4321</v>
      </c>
      <c r="AO20" s="336">
        <f t="shared" si="7"/>
        <v>1.6003703703703704</v>
      </c>
      <c r="AP20" s="334">
        <v>3703</v>
      </c>
      <c r="AQ20" s="336">
        <f t="shared" si="8"/>
        <v>1.3714814814814815</v>
      </c>
    </row>
    <row r="21" spans="1:43" ht="12.75">
      <c r="A21" s="150">
        <f>+D$13*I21</f>
        <v>1821932.7731092435</v>
      </c>
      <c r="B21" s="151">
        <f>+C21/((100+O$15)/100)</f>
        <v>22314.04958677686</v>
      </c>
      <c r="C21" s="152">
        <f>+D14*10%</f>
        <v>27000</v>
      </c>
      <c r="D21" s="153">
        <f>+A21+J21+K21</f>
        <v>2204412.6050420166</v>
      </c>
      <c r="E21" s="154">
        <f>+D$13*$O$21/100*1.19/12</f>
        <v>0</v>
      </c>
      <c r="F21" s="152">
        <f>+D21+E21</f>
        <v>2204412.6050420166</v>
      </c>
      <c r="G21" s="160">
        <f>+(A21*O$14+B21+G$12+E21*O$14)/(D$13+D$13*0.0428/12*O$14)</f>
        <v>256.27290597965083</v>
      </c>
      <c r="H21" s="161">
        <f>+D$14*G21-D$14</f>
        <v>68923684.61450572</v>
      </c>
      <c r="I21" s="140">
        <f aca="true" t="shared" si="10" ref="I21:I28">+$O27</f>
        <v>8.03</v>
      </c>
      <c r="J21" s="162">
        <f>+(D$14-C21+B21-D$13+G$12-G$13)/O$14</f>
        <v>1067.3137023404406</v>
      </c>
      <c r="K21" s="142">
        <f>+L21*O$16/100/O$14</f>
        <v>381412.51823043264</v>
      </c>
      <c r="L21" s="141">
        <f>+$A21*O$14+B21-D$13+G$12</f>
        <v>65385003.12521703</v>
      </c>
      <c r="M21" s="144">
        <f>+(A21*O$14+B21+G$12)/D$13</f>
        <v>289.178347107438</v>
      </c>
      <c r="N21" s="69" t="s">
        <v>17</v>
      </c>
      <c r="O21" s="163"/>
      <c r="P21" s="164" t="s">
        <v>45</v>
      </c>
      <c r="Q21" s="70"/>
      <c r="U21" s="147">
        <f>+N31</f>
        <v>30</v>
      </c>
      <c r="V21" s="148">
        <f t="shared" si="0"/>
        <v>63000</v>
      </c>
      <c r="W21" s="400">
        <f aca="true" t="shared" si="11" ref="W21:AB21">+$W$10*O31/100</f>
        <v>13115.666666666668</v>
      </c>
      <c r="X21" s="401">
        <f t="shared" si="11"/>
        <v>6751.111111111111</v>
      </c>
      <c r="Y21" s="401">
        <f t="shared" si="11"/>
        <v>4631.666666666667</v>
      </c>
      <c r="Z21" s="401">
        <f t="shared" si="11"/>
        <v>3573.888888888889</v>
      </c>
      <c r="AA21" s="401">
        <f t="shared" si="11"/>
        <v>2940.7777777777774</v>
      </c>
      <c r="AB21" s="402">
        <f t="shared" si="11"/>
        <v>2520</v>
      </c>
      <c r="AD21" s="149">
        <v>30</v>
      </c>
      <c r="AE21" s="148"/>
      <c r="AF21" s="334">
        <v>16863</v>
      </c>
      <c r="AG21" s="336">
        <f t="shared" si="2"/>
        <v>6.245555555555556</v>
      </c>
      <c r="AH21" s="334">
        <v>8680</v>
      </c>
      <c r="AI21" s="336">
        <f t="shared" si="4"/>
        <v>3.214814814814815</v>
      </c>
      <c r="AJ21" s="334">
        <v>5955</v>
      </c>
      <c r="AK21" s="336">
        <f t="shared" si="5"/>
        <v>2.2055555555555557</v>
      </c>
      <c r="AL21" s="334">
        <v>4595</v>
      </c>
      <c r="AM21" s="336">
        <f t="shared" si="6"/>
        <v>1.701851851851852</v>
      </c>
      <c r="AN21" s="334">
        <v>3781</v>
      </c>
      <c r="AO21" s="336">
        <f t="shared" si="7"/>
        <v>1.4003703703703703</v>
      </c>
      <c r="AP21" s="334">
        <v>3240</v>
      </c>
      <c r="AQ21" s="336">
        <f t="shared" si="8"/>
        <v>1.2</v>
      </c>
    </row>
    <row r="22" spans="1:43" ht="12.75">
      <c r="A22" s="150">
        <f aca="true" t="shared" si="12" ref="A22:A33">+D$13*I22</f>
        <v>0</v>
      </c>
      <c r="B22" s="151">
        <f aca="true" t="shared" si="13" ref="B22:B33">+C22/((100+O$15)/100)</f>
        <v>33471.07438016529</v>
      </c>
      <c r="C22" s="152">
        <f>+D14*15%</f>
        <v>40500</v>
      </c>
      <c r="D22" s="153">
        <f aca="true" t="shared" si="14" ref="D22:D33">+A22+J22+K22</f>
        <v>-126.05042016806681</v>
      </c>
      <c r="E22" s="154">
        <f aca="true" t="shared" si="15" ref="E22:E33">+D$13*$O$21/100*1.19/12</f>
        <v>0</v>
      </c>
      <c r="F22" s="152">
        <f aca="true" t="shared" si="16" ref="F22:F33">+D22+E22</f>
        <v>-126.05042016806681</v>
      </c>
      <c r="G22" s="160">
        <f aca="true" t="shared" si="17" ref="G22:G33">+(A22*O$14+B22+G$12+E22*O$14)/(D$13+D$13*0.0428/12*O$14)</f>
        <v>0.1307343682710252</v>
      </c>
      <c r="H22" s="161">
        <f aca="true" t="shared" si="18" ref="H22:H33">+D$14*G22-D$14</f>
        <v>-234701.7205668232</v>
      </c>
      <c r="I22" s="140">
        <f t="shared" si="10"/>
        <v>0</v>
      </c>
      <c r="J22" s="162">
        <f>+(D$14-C22+B22-D$13+G$12-G$13)/O$14</f>
        <v>1002.2310577123418</v>
      </c>
      <c r="K22" s="142">
        <f aca="true" t="shared" si="19" ref="K22:K33">+L22*O$16/100/O$14</f>
        <v>-1128.2814778804086</v>
      </c>
      <c r="L22" s="141">
        <f aca="true" t="shared" si="20" ref="L22:L33">+$A22*O$14+B22-D$13+G$12</f>
        <v>-193419.68192235572</v>
      </c>
      <c r="M22" s="144">
        <f>+(A22*O$14+B22+G$12)/D$13</f>
        <v>0.1475206611570248</v>
      </c>
      <c r="N22" s="69" t="s">
        <v>18</v>
      </c>
      <c r="O22" s="165">
        <f>+D13</f>
        <v>226890.756302521</v>
      </c>
      <c r="P22" s="166"/>
      <c r="Q22" s="167"/>
      <c r="U22" s="147">
        <f>+N33</f>
        <v>40</v>
      </c>
      <c r="V22" s="148">
        <f t="shared" si="0"/>
        <v>84000</v>
      </c>
      <c r="W22" s="400">
        <f aca="true" t="shared" si="21" ref="W22:AB22">+$W$10*O33/100</f>
        <v>11242</v>
      </c>
      <c r="X22" s="401">
        <f t="shared" si="21"/>
        <v>5786.666666666666</v>
      </c>
      <c r="Y22" s="401">
        <f t="shared" si="21"/>
        <v>3970.5555555555557</v>
      </c>
      <c r="Z22" s="401">
        <f t="shared" si="21"/>
        <v>3063.666666666667</v>
      </c>
      <c r="AA22" s="401">
        <f t="shared" si="21"/>
        <v>2520.7777777777774</v>
      </c>
      <c r="AB22" s="402">
        <f t="shared" si="21"/>
        <v>2159.888888888889</v>
      </c>
      <c r="AD22" s="149">
        <v>40</v>
      </c>
      <c r="AE22" s="148"/>
      <c r="AF22" s="334">
        <v>14454</v>
      </c>
      <c r="AG22" s="336">
        <f t="shared" si="2"/>
        <v>5.3533333333333335</v>
      </c>
      <c r="AH22" s="334">
        <v>7440</v>
      </c>
      <c r="AI22" s="336">
        <f t="shared" si="4"/>
        <v>2.7555555555555555</v>
      </c>
      <c r="AJ22" s="334">
        <v>5105</v>
      </c>
      <c r="AK22" s="336">
        <f t="shared" si="5"/>
        <v>1.8907407407407408</v>
      </c>
      <c r="AL22" s="334">
        <v>3939</v>
      </c>
      <c r="AM22" s="336">
        <f t="shared" si="6"/>
        <v>1.458888888888889</v>
      </c>
      <c r="AN22" s="334">
        <v>3241</v>
      </c>
      <c r="AO22" s="336">
        <f t="shared" si="7"/>
        <v>1.2003703703703703</v>
      </c>
      <c r="AP22" s="334">
        <v>2777</v>
      </c>
      <c r="AQ22" s="336">
        <f t="shared" si="8"/>
        <v>1.0285185185185186</v>
      </c>
    </row>
    <row r="23" spans="1:43" ht="13.5" thickBot="1">
      <c r="A23" s="150">
        <f t="shared" si="12"/>
        <v>1619495.7983193279</v>
      </c>
      <c r="B23" s="151">
        <f t="shared" si="13"/>
        <v>44628.09917355372</v>
      </c>
      <c r="C23" s="152">
        <f>+D14*20%</f>
        <v>54000</v>
      </c>
      <c r="D23" s="153">
        <f t="shared" si="14"/>
        <v>1959463.8655462186</v>
      </c>
      <c r="E23" s="154">
        <f t="shared" si="15"/>
        <v>0</v>
      </c>
      <c r="F23" s="152">
        <f t="shared" si="16"/>
        <v>1959463.8655462186</v>
      </c>
      <c r="G23" s="160">
        <f t="shared" si="17"/>
        <v>227.89497892137192</v>
      </c>
      <c r="H23" s="161">
        <f t="shared" si="18"/>
        <v>61261644.30877042</v>
      </c>
      <c r="I23" s="140">
        <f t="shared" si="10"/>
        <v>7.137777777777778</v>
      </c>
      <c r="J23" s="162">
        <f aca="true" t="shared" si="22" ref="J23:J33">+(D$14-C23+B23-D$13+G$12-G$13)/O$14</f>
        <v>937.1484130842421</v>
      </c>
      <c r="K23" s="142">
        <f t="shared" si="19"/>
        <v>339030.9188138066</v>
      </c>
      <c r="L23" s="141">
        <f t="shared" si="20"/>
        <v>58119586.08236684</v>
      </c>
      <c r="M23" s="144">
        <f aca="true" t="shared" si="23" ref="M23:M33">+(A23*O$14+B23+G$12)/D$13</f>
        <v>257.15669421487604</v>
      </c>
      <c r="N23" s="168" t="s">
        <v>19</v>
      </c>
      <c r="O23" s="169"/>
      <c r="P23" s="106"/>
      <c r="Q23" s="170"/>
      <c r="U23" s="147">
        <f>+N35</f>
        <v>50</v>
      </c>
      <c r="V23" s="148">
        <f t="shared" si="0"/>
        <v>105000</v>
      </c>
      <c r="W23" s="400">
        <f aca="true" t="shared" si="24" ref="W23:AB23">+$W$10*O35/100</f>
        <v>9368.333333333334</v>
      </c>
      <c r="X23" s="401">
        <f t="shared" si="24"/>
        <v>4822.222222222222</v>
      </c>
      <c r="Y23" s="401">
        <f t="shared" si="24"/>
        <v>3308.666666666667</v>
      </c>
      <c r="Z23" s="401">
        <f t="shared" si="24"/>
        <v>2553.4444444444443</v>
      </c>
      <c r="AA23" s="401">
        <f t="shared" si="24"/>
        <v>2100.777777777778</v>
      </c>
      <c r="AB23" s="402">
        <f t="shared" si="24"/>
        <v>1799.7777777777778</v>
      </c>
      <c r="AD23" s="149">
        <v>50</v>
      </c>
      <c r="AE23" s="148"/>
      <c r="AF23" s="334">
        <v>12045</v>
      </c>
      <c r="AG23" s="336">
        <f t="shared" si="2"/>
        <v>4.461111111111111</v>
      </c>
      <c r="AH23" s="334">
        <v>6200</v>
      </c>
      <c r="AI23" s="336">
        <f t="shared" si="4"/>
        <v>2.2962962962962963</v>
      </c>
      <c r="AJ23" s="334">
        <v>4254</v>
      </c>
      <c r="AK23" s="336">
        <f t="shared" si="5"/>
        <v>1.5755555555555556</v>
      </c>
      <c r="AL23" s="334">
        <v>3283</v>
      </c>
      <c r="AM23" s="336">
        <f t="shared" si="6"/>
        <v>1.2159259259259259</v>
      </c>
      <c r="AN23" s="334">
        <v>2701</v>
      </c>
      <c r="AO23" s="336">
        <f t="shared" si="7"/>
        <v>1.0003703703703704</v>
      </c>
      <c r="AP23" s="334">
        <v>2314</v>
      </c>
      <c r="AQ23" s="336">
        <f t="shared" si="8"/>
        <v>0.857037037037037</v>
      </c>
    </row>
    <row r="24" spans="1:43" ht="13.5" thickBot="1">
      <c r="A24" s="150">
        <f t="shared" si="12"/>
        <v>0</v>
      </c>
      <c r="B24" s="151">
        <f t="shared" si="13"/>
        <v>55785.12396694215</v>
      </c>
      <c r="C24" s="152">
        <f>+D14*25%</f>
        <v>67500</v>
      </c>
      <c r="D24" s="153">
        <f t="shared" si="14"/>
        <v>-126.05042016806772</v>
      </c>
      <c r="E24" s="154">
        <f t="shared" si="15"/>
        <v>0</v>
      </c>
      <c r="F24" s="152">
        <f t="shared" si="16"/>
        <v>-126.05042016806772</v>
      </c>
      <c r="G24" s="160">
        <f t="shared" si="17"/>
        <v>0.21789061378504193</v>
      </c>
      <c r="H24" s="161">
        <f t="shared" si="18"/>
        <v>-211169.53427803869</v>
      </c>
      <c r="I24" s="140">
        <f t="shared" si="10"/>
        <v>0</v>
      </c>
      <c r="J24" s="162">
        <f t="shared" si="22"/>
        <v>872.0657684561423</v>
      </c>
      <c r="K24" s="142">
        <f t="shared" si="19"/>
        <v>-998.11618862421</v>
      </c>
      <c r="L24" s="141">
        <f t="shared" si="20"/>
        <v>-171105.63233557885</v>
      </c>
      <c r="M24" s="144">
        <f t="shared" si="23"/>
        <v>0.2458677685950413</v>
      </c>
      <c r="N24" s="171" t="s">
        <v>20</v>
      </c>
      <c r="O24" s="172" t="s">
        <v>25</v>
      </c>
      <c r="Q24" s="1">
        <v>36</v>
      </c>
      <c r="U24" s="147">
        <f>+N37</f>
        <v>60</v>
      </c>
      <c r="V24" s="148">
        <f t="shared" si="0"/>
        <v>126000</v>
      </c>
      <c r="W24" s="400">
        <f aca="true" t="shared" si="25" ref="W24:AB24">+$W$10*O37/100</f>
        <v>7494.666666666668</v>
      </c>
      <c r="X24" s="401">
        <f t="shared" si="25"/>
        <v>3857.7777777777774</v>
      </c>
      <c r="Y24" s="401">
        <f t="shared" si="25"/>
        <v>2646.7777777777774</v>
      </c>
      <c r="Z24" s="401">
        <f t="shared" si="25"/>
        <v>2042.4444444444443</v>
      </c>
      <c r="AA24" s="401">
        <f t="shared" si="25"/>
        <v>1680.7777777777778</v>
      </c>
      <c r="AB24" s="402">
        <f t="shared" si="25"/>
        <v>1440.4444444444443</v>
      </c>
      <c r="AD24" s="149">
        <v>60</v>
      </c>
      <c r="AE24" s="148"/>
      <c r="AF24" s="334">
        <v>9636</v>
      </c>
      <c r="AG24" s="336">
        <f t="shared" si="2"/>
        <v>3.568888888888889</v>
      </c>
      <c r="AH24" s="334">
        <v>4960</v>
      </c>
      <c r="AI24" s="336">
        <f t="shared" si="4"/>
        <v>1.837037037037037</v>
      </c>
      <c r="AJ24" s="334">
        <v>3403</v>
      </c>
      <c r="AK24" s="336">
        <f t="shared" si="5"/>
        <v>1.2603703703703704</v>
      </c>
      <c r="AL24" s="334">
        <v>2626</v>
      </c>
      <c r="AM24" s="336">
        <f t="shared" si="6"/>
        <v>0.9725925925925926</v>
      </c>
      <c r="AN24" s="334">
        <v>2161</v>
      </c>
      <c r="AO24" s="336">
        <f t="shared" si="7"/>
        <v>0.8003703703703704</v>
      </c>
      <c r="AP24" s="334">
        <v>1852</v>
      </c>
      <c r="AQ24" s="336">
        <f t="shared" si="8"/>
        <v>0.6859259259259259</v>
      </c>
    </row>
    <row r="25" spans="1:43" ht="13.5" thickBot="1">
      <c r="A25" s="150">
        <f t="shared" si="12"/>
        <v>1417058.8235294118</v>
      </c>
      <c r="B25" s="151">
        <f t="shared" si="13"/>
        <v>66942.14876033059</v>
      </c>
      <c r="C25" s="152">
        <f>+D14*30%</f>
        <v>81000</v>
      </c>
      <c r="D25" s="153">
        <f t="shared" si="14"/>
        <v>1714515.12605042</v>
      </c>
      <c r="E25" s="154">
        <f t="shared" si="15"/>
        <v>0</v>
      </c>
      <c r="F25" s="152">
        <f t="shared" si="16"/>
        <v>1714515.12605042</v>
      </c>
      <c r="G25" s="160">
        <f t="shared" si="17"/>
        <v>199.51705186309295</v>
      </c>
      <c r="H25" s="161">
        <f t="shared" si="18"/>
        <v>53599604.0030351</v>
      </c>
      <c r="I25" s="140">
        <f t="shared" si="10"/>
        <v>6.245555555555556</v>
      </c>
      <c r="J25" s="162">
        <f t="shared" si="22"/>
        <v>806.9831238280434</v>
      </c>
      <c r="K25" s="142">
        <f t="shared" si="19"/>
        <v>296649.3193971804</v>
      </c>
      <c r="L25" s="141">
        <f t="shared" si="20"/>
        <v>50854169.039516635</v>
      </c>
      <c r="M25" s="144">
        <f t="shared" si="23"/>
        <v>225.13504132231407</v>
      </c>
      <c r="N25" s="173">
        <v>0</v>
      </c>
      <c r="O25" s="174">
        <f>+AG31</f>
        <v>8.922222222222222</v>
      </c>
      <c r="P25" s="174">
        <f>+AI31</f>
        <v>4.592592592592593</v>
      </c>
      <c r="Q25" s="176">
        <f>+AK31</f>
        <v>3.1507407407407406</v>
      </c>
      <c r="R25" s="176">
        <f>+AM31</f>
        <v>2.4314814814814816</v>
      </c>
      <c r="S25" s="175">
        <f>+AO31</f>
        <v>2.0007407407407407</v>
      </c>
      <c r="T25" s="307">
        <f>+AQ31</f>
        <v>1.714074074074074</v>
      </c>
      <c r="U25" s="112">
        <f>+N39</f>
        <v>70</v>
      </c>
      <c r="V25" s="177">
        <f>+W$3*U25/100</f>
        <v>147000</v>
      </c>
      <c r="W25" s="400">
        <f aca="true" t="shared" si="26" ref="W25:AB25">+$W$10*O39/100</f>
        <v>5621</v>
      </c>
      <c r="X25" s="401">
        <f t="shared" si="26"/>
        <v>2893.333333333333</v>
      </c>
      <c r="Y25" s="401">
        <f t="shared" si="26"/>
        <v>1985.666666666667</v>
      </c>
      <c r="Z25" s="401">
        <f t="shared" si="26"/>
        <v>1532.2222222222222</v>
      </c>
      <c r="AA25" s="401">
        <f t="shared" si="26"/>
        <v>1260.7777777777776</v>
      </c>
      <c r="AB25" s="402">
        <f t="shared" si="26"/>
        <v>1080.3333333333335</v>
      </c>
      <c r="AD25" s="112">
        <v>70</v>
      </c>
      <c r="AE25" s="178"/>
      <c r="AF25" s="334">
        <v>7227</v>
      </c>
      <c r="AG25" s="336">
        <f t="shared" si="2"/>
        <v>2.6766666666666667</v>
      </c>
      <c r="AH25" s="334">
        <v>3720</v>
      </c>
      <c r="AI25" s="336">
        <f t="shared" si="4"/>
        <v>1.3777777777777778</v>
      </c>
      <c r="AJ25" s="334">
        <v>2553</v>
      </c>
      <c r="AK25" s="336">
        <f t="shared" si="5"/>
        <v>0.9455555555555556</v>
      </c>
      <c r="AL25" s="334">
        <v>1970</v>
      </c>
      <c r="AM25" s="336">
        <f t="shared" si="6"/>
        <v>0.7296296296296296</v>
      </c>
      <c r="AN25" s="334">
        <v>1621</v>
      </c>
      <c r="AO25" s="336">
        <f t="shared" si="7"/>
        <v>0.6003703703703703</v>
      </c>
      <c r="AP25" s="334">
        <v>1389</v>
      </c>
      <c r="AQ25" s="336">
        <f t="shared" si="8"/>
        <v>0.5144444444444445</v>
      </c>
    </row>
    <row r="26" spans="1:28" ht="18" customHeight="1" thickBot="1">
      <c r="A26" s="150">
        <f t="shared" si="12"/>
        <v>0</v>
      </c>
      <c r="B26" s="151">
        <f t="shared" si="13"/>
        <v>78099.17355371901</v>
      </c>
      <c r="C26" s="152">
        <f>+D14*35%</f>
        <v>94500</v>
      </c>
      <c r="D26" s="153">
        <f t="shared" si="14"/>
        <v>-126.05042016806715</v>
      </c>
      <c r="E26" s="154">
        <f t="shared" si="15"/>
        <v>0</v>
      </c>
      <c r="F26" s="152">
        <f t="shared" si="16"/>
        <v>-126.05042016806715</v>
      </c>
      <c r="G26" s="160">
        <f t="shared" si="17"/>
        <v>0.3050468592990587</v>
      </c>
      <c r="H26" s="161">
        <f t="shared" si="18"/>
        <v>-187637.34798925417</v>
      </c>
      <c r="I26" s="140">
        <f t="shared" si="10"/>
        <v>0</v>
      </c>
      <c r="J26" s="162">
        <f t="shared" si="22"/>
        <v>741.9004791999445</v>
      </c>
      <c r="K26" s="142">
        <f t="shared" si="19"/>
        <v>-867.9508993680116</v>
      </c>
      <c r="L26" s="141">
        <f t="shared" si="20"/>
        <v>-148791.582748802</v>
      </c>
      <c r="M26" s="144">
        <f t="shared" si="23"/>
        <v>0.34421487603305784</v>
      </c>
      <c r="N26" s="179"/>
      <c r="O26" s="180"/>
      <c r="P26" s="174"/>
      <c r="Q26" s="182"/>
      <c r="R26" s="182"/>
      <c r="S26" s="181"/>
      <c r="T26" s="308"/>
      <c r="U26" s="310"/>
      <c r="V26" s="183"/>
      <c r="W26" s="325" t="s">
        <v>129</v>
      </c>
      <c r="X26" s="326" t="s">
        <v>130</v>
      </c>
      <c r="Y26" s="327" t="s">
        <v>131</v>
      </c>
      <c r="Z26" s="327" t="s">
        <v>132</v>
      </c>
      <c r="AA26" s="327" t="s">
        <v>133</v>
      </c>
      <c r="AB26" s="328" t="s">
        <v>134</v>
      </c>
    </row>
    <row r="27" spans="1:36" ht="12" customHeight="1">
      <c r="A27" s="150">
        <f t="shared" si="12"/>
        <v>1214621.848739496</v>
      </c>
      <c r="B27" s="151">
        <f t="shared" si="13"/>
        <v>89256.19834710743</v>
      </c>
      <c r="C27" s="152">
        <f>+D14*40%</f>
        <v>108000</v>
      </c>
      <c r="D27" s="153">
        <f t="shared" si="14"/>
        <v>1469566.386554622</v>
      </c>
      <c r="E27" s="154">
        <f t="shared" si="15"/>
        <v>0</v>
      </c>
      <c r="F27" s="152">
        <f t="shared" si="16"/>
        <v>1469566.386554622</v>
      </c>
      <c r="G27" s="160">
        <f t="shared" si="17"/>
        <v>171.13912480481397</v>
      </c>
      <c r="H27" s="161">
        <f t="shared" si="18"/>
        <v>45937563.69729977</v>
      </c>
      <c r="I27" s="140">
        <f t="shared" si="10"/>
        <v>5.3533333333333335</v>
      </c>
      <c r="J27" s="162">
        <f t="shared" si="22"/>
        <v>676.8178345718455</v>
      </c>
      <c r="K27" s="142">
        <f t="shared" si="19"/>
        <v>254267.71998055425</v>
      </c>
      <c r="L27" s="141">
        <f t="shared" si="20"/>
        <v>43588751.99666644</v>
      </c>
      <c r="M27" s="144">
        <f t="shared" si="23"/>
        <v>193.1133884297521</v>
      </c>
      <c r="N27" s="179">
        <v>10</v>
      </c>
      <c r="O27" s="184">
        <f>+AG32</f>
        <v>8.03</v>
      </c>
      <c r="P27" s="174">
        <f>+AI32</f>
        <v>4.133333333333334</v>
      </c>
      <c r="Q27" s="186">
        <f>+AK32</f>
        <v>2.8359259259259257</v>
      </c>
      <c r="R27" s="186">
        <f>+AM32</f>
        <v>2.188148148148148</v>
      </c>
      <c r="S27" s="185">
        <f>+AO32</f>
        <v>1.8003703703703704</v>
      </c>
      <c r="T27" s="309">
        <f>+AQ32</f>
        <v>1.5429629629629629</v>
      </c>
      <c r="U27" s="358"/>
      <c r="V27" s="359"/>
      <c r="W27" s="359"/>
      <c r="X27" s="359"/>
      <c r="Y27" s="359"/>
      <c r="Z27" s="359"/>
      <c r="AA27" s="359"/>
      <c r="AB27" s="360"/>
      <c r="AG27" s="72" t="s">
        <v>148</v>
      </c>
      <c r="AH27" s="72" t="s">
        <v>149</v>
      </c>
      <c r="AI27" s="72" t="s">
        <v>150</v>
      </c>
      <c r="AJ27" s="72" t="s">
        <v>152</v>
      </c>
    </row>
    <row r="28" spans="1:36" ht="21" customHeight="1" thickBot="1">
      <c r="A28" s="150">
        <f t="shared" si="12"/>
        <v>0</v>
      </c>
      <c r="B28" s="151">
        <f t="shared" si="13"/>
        <v>100413.22314049587</v>
      </c>
      <c r="C28" s="152">
        <f>+D14*45%</f>
        <v>121500</v>
      </c>
      <c r="D28" s="153">
        <f t="shared" si="14"/>
        <v>-126.0504201680667</v>
      </c>
      <c r="E28" s="154">
        <f t="shared" si="15"/>
        <v>0</v>
      </c>
      <c r="F28" s="152">
        <f t="shared" si="16"/>
        <v>-126.0504201680667</v>
      </c>
      <c r="G28" s="160">
        <f t="shared" si="17"/>
        <v>0.3922031048130755</v>
      </c>
      <c r="H28" s="161">
        <f t="shared" si="18"/>
        <v>-164105.16170046962</v>
      </c>
      <c r="I28" s="140">
        <f t="shared" si="10"/>
        <v>0</v>
      </c>
      <c r="J28" s="162">
        <f t="shared" si="22"/>
        <v>611.7351899437466</v>
      </c>
      <c r="K28" s="142">
        <f t="shared" si="19"/>
        <v>-737.7856101118133</v>
      </c>
      <c r="L28" s="141">
        <f t="shared" si="20"/>
        <v>-126477.53316202514</v>
      </c>
      <c r="M28" s="144">
        <f t="shared" si="23"/>
        <v>0.4425619834710744</v>
      </c>
      <c r="N28" s="179"/>
      <c r="O28" s="184"/>
      <c r="P28" s="174"/>
      <c r="Q28" s="186"/>
      <c r="R28" s="182"/>
      <c r="S28" s="181"/>
      <c r="T28" s="308"/>
      <c r="U28" s="427" t="s">
        <v>146</v>
      </c>
      <c r="V28" s="428"/>
      <c r="W28" s="428"/>
      <c r="X28" s="428"/>
      <c r="Y28" s="428"/>
      <c r="Z28" s="428"/>
      <c r="AA28" s="428"/>
      <c r="AB28" s="429"/>
      <c r="AG28" s="332">
        <v>3</v>
      </c>
      <c r="AH28" s="333">
        <v>0</v>
      </c>
      <c r="AI28" s="338">
        <v>3</v>
      </c>
      <c r="AJ28" s="72">
        <f>1/AG28*AI28</f>
        <v>1</v>
      </c>
    </row>
    <row r="29" spans="1:28" ht="15" customHeight="1" thickBot="1">
      <c r="A29" s="150">
        <f t="shared" si="12"/>
        <v>1012184.8739495799</v>
      </c>
      <c r="B29" s="151">
        <f t="shared" si="13"/>
        <v>111570.2479338843</v>
      </c>
      <c r="C29" s="152">
        <f>+D14*50%</f>
        <v>135000</v>
      </c>
      <c r="D29" s="153">
        <f t="shared" si="14"/>
        <v>1224617.6470588236</v>
      </c>
      <c r="E29" s="154">
        <f t="shared" si="15"/>
        <v>0</v>
      </c>
      <c r="F29" s="152">
        <f t="shared" si="16"/>
        <v>1224617.6470588236</v>
      </c>
      <c r="G29" s="160">
        <f t="shared" si="17"/>
        <v>142.761197746535</v>
      </c>
      <c r="H29" s="161">
        <f t="shared" si="18"/>
        <v>38275523.39156445</v>
      </c>
      <c r="I29" s="140">
        <f>+$O35</f>
        <v>4.461111111111111</v>
      </c>
      <c r="J29" s="162">
        <f t="shared" si="22"/>
        <v>546.6525453156469</v>
      </c>
      <c r="K29" s="142">
        <f t="shared" si="19"/>
        <v>211886.1205639281</v>
      </c>
      <c r="L29" s="141">
        <f t="shared" si="20"/>
        <v>36323334.95381624</v>
      </c>
      <c r="M29" s="144">
        <f t="shared" si="23"/>
        <v>161.0917355371901</v>
      </c>
      <c r="N29" s="179">
        <v>20</v>
      </c>
      <c r="O29" s="184">
        <f>+AG33</f>
        <v>7.137777777777778</v>
      </c>
      <c r="P29" s="174">
        <f>+AI33</f>
        <v>3.674074074074074</v>
      </c>
      <c r="Q29" s="186">
        <f>+AK33</f>
        <v>2.5207407407407407</v>
      </c>
      <c r="R29" s="186">
        <f>+AM33</f>
        <v>1.9451851851851851</v>
      </c>
      <c r="S29" s="185">
        <f>+AO33</f>
        <v>1.6003703703703704</v>
      </c>
      <c r="T29" s="309">
        <f>+AQ33</f>
        <v>1.3714814814814815</v>
      </c>
      <c r="U29" s="432" t="s">
        <v>167</v>
      </c>
      <c r="V29" s="433"/>
      <c r="W29" s="425" t="s">
        <v>147</v>
      </c>
      <c r="X29" s="426"/>
      <c r="Y29" s="426"/>
      <c r="Z29" s="426"/>
      <c r="AA29" s="426"/>
      <c r="AB29" s="364"/>
    </row>
    <row r="30" spans="1:43" ht="13.5" customHeight="1" thickBot="1">
      <c r="A30" s="150">
        <f t="shared" si="12"/>
        <v>0</v>
      </c>
      <c r="B30" s="151">
        <f t="shared" si="13"/>
        <v>122727.27272727274</v>
      </c>
      <c r="C30" s="152">
        <f>+D14*55%</f>
        <v>148500</v>
      </c>
      <c r="D30" s="153">
        <f t="shared" si="14"/>
        <v>-126.05042016806698</v>
      </c>
      <c r="E30" s="154">
        <f t="shared" si="15"/>
        <v>0</v>
      </c>
      <c r="F30" s="152">
        <f t="shared" si="16"/>
        <v>-126.05042016806698</v>
      </c>
      <c r="G30" s="160">
        <f t="shared" si="17"/>
        <v>0.4793593503270923</v>
      </c>
      <c r="H30" s="161">
        <f t="shared" si="18"/>
        <v>-140572.97541168507</v>
      </c>
      <c r="I30" s="140">
        <f>+$O36</f>
        <v>0</v>
      </c>
      <c r="J30" s="162">
        <f t="shared" si="22"/>
        <v>481.5699006875479</v>
      </c>
      <c r="K30" s="142">
        <f t="shared" si="19"/>
        <v>-607.6203208556149</v>
      </c>
      <c r="L30" s="141">
        <f t="shared" si="20"/>
        <v>-104163.48357524828</v>
      </c>
      <c r="M30" s="144">
        <f t="shared" si="23"/>
        <v>0.5409090909090909</v>
      </c>
      <c r="N30" s="179"/>
      <c r="O30" s="184"/>
      <c r="P30" s="174"/>
      <c r="Q30" s="186"/>
      <c r="R30" s="182"/>
      <c r="S30" s="181"/>
      <c r="T30" s="308"/>
      <c r="U30" s="434"/>
      <c r="V30" s="433"/>
      <c r="W30" s="422" t="s">
        <v>122</v>
      </c>
      <c r="X30" s="423"/>
      <c r="Y30" s="424"/>
      <c r="Z30" s="374" t="s">
        <v>163</v>
      </c>
      <c r="AA30" s="377">
        <f>+AA31-Y32</f>
        <v>126000</v>
      </c>
      <c r="AB30" s="196"/>
      <c r="AD30" s="158" t="s">
        <v>151</v>
      </c>
      <c r="AE30" s="158"/>
      <c r="AF30" s="158"/>
      <c r="AG30" s="72">
        <v>12</v>
      </c>
      <c r="AH30" s="72"/>
      <c r="AI30" s="72">
        <v>24</v>
      </c>
      <c r="AJ30" s="72"/>
      <c r="AK30" s="72">
        <v>36</v>
      </c>
      <c r="AL30" s="72"/>
      <c r="AM30" s="72">
        <v>48</v>
      </c>
      <c r="AN30" s="72"/>
      <c r="AO30" s="72">
        <v>60</v>
      </c>
      <c r="AP30" s="72"/>
      <c r="AQ30" s="72">
        <v>72</v>
      </c>
    </row>
    <row r="31" spans="1:43" ht="12.75">
      <c r="A31" s="150">
        <f t="shared" si="12"/>
        <v>809747.8991596639</v>
      </c>
      <c r="B31" s="151">
        <f t="shared" si="13"/>
        <v>133884.29752066117</v>
      </c>
      <c r="C31" s="152">
        <f>+D14*60%</f>
        <v>162000</v>
      </c>
      <c r="D31" s="153">
        <f t="shared" si="14"/>
        <v>979668.9075630254</v>
      </c>
      <c r="E31" s="154">
        <f t="shared" si="15"/>
        <v>0</v>
      </c>
      <c r="F31" s="152">
        <f t="shared" si="16"/>
        <v>979668.9075630254</v>
      </c>
      <c r="G31" s="160">
        <f t="shared" si="17"/>
        <v>114.38327068825603</v>
      </c>
      <c r="H31" s="161">
        <f t="shared" si="18"/>
        <v>30613483.085829128</v>
      </c>
      <c r="I31" s="140">
        <f>+$O37</f>
        <v>3.568888888888889</v>
      </c>
      <c r="J31" s="162">
        <f t="shared" si="22"/>
        <v>416.48725605944895</v>
      </c>
      <c r="K31" s="142">
        <f t="shared" si="19"/>
        <v>169504.52114730194</v>
      </c>
      <c r="L31" s="141">
        <f t="shared" si="20"/>
        <v>29057917.910966042</v>
      </c>
      <c r="M31" s="144">
        <f t="shared" si="23"/>
        <v>129.07008264462812</v>
      </c>
      <c r="N31" s="179">
        <v>30</v>
      </c>
      <c r="O31" s="184">
        <f>+AG34</f>
        <v>6.245555555555556</v>
      </c>
      <c r="P31" s="174">
        <f>+AI34</f>
        <v>3.214814814814815</v>
      </c>
      <c r="Q31" s="186">
        <f>+AK34</f>
        <v>2.2055555555555557</v>
      </c>
      <c r="R31" s="182">
        <f>+AM34</f>
        <v>1.701851851851852</v>
      </c>
      <c r="S31" s="181">
        <f>+AO34</f>
        <v>1.4003703703703703</v>
      </c>
      <c r="T31" s="308">
        <f>+AQ34</f>
        <v>1.2</v>
      </c>
      <c r="U31" s="434"/>
      <c r="V31" s="433"/>
      <c r="W31" s="368" t="s">
        <v>121</v>
      </c>
      <c r="X31" s="369" t="s">
        <v>123</v>
      </c>
      <c r="Y31" s="370" t="s">
        <v>145</v>
      </c>
      <c r="Z31" s="375" t="s">
        <v>155</v>
      </c>
      <c r="AA31" s="378">
        <f>+W10</f>
        <v>210000</v>
      </c>
      <c r="AB31" s="196"/>
      <c r="AD31" s="158">
        <v>0</v>
      </c>
      <c r="AE31" s="158"/>
      <c r="AF31" s="158"/>
      <c r="AG31" s="158">
        <f>+AG18*$AJ$28</f>
        <v>8.922222222222222</v>
      </c>
      <c r="AH31" s="158"/>
      <c r="AI31" s="158">
        <f aca="true" t="shared" si="27" ref="AI31:AQ31">+AI18*$AJ$28</f>
        <v>4.592592592592593</v>
      </c>
      <c r="AJ31" s="158"/>
      <c r="AK31" s="158">
        <f t="shared" si="27"/>
        <v>3.1507407407407406</v>
      </c>
      <c r="AL31" s="158"/>
      <c r="AM31" s="158">
        <f t="shared" si="27"/>
        <v>2.4314814814814816</v>
      </c>
      <c r="AN31" s="158"/>
      <c r="AO31" s="158">
        <f t="shared" si="27"/>
        <v>2.0007407407407407</v>
      </c>
      <c r="AP31" s="158"/>
      <c r="AQ31" s="158">
        <f t="shared" si="27"/>
        <v>1.714074074074074</v>
      </c>
    </row>
    <row r="32" spans="1:43" ht="15">
      <c r="A32" s="150">
        <f t="shared" si="12"/>
        <v>0</v>
      </c>
      <c r="B32" s="151">
        <f t="shared" si="13"/>
        <v>145041.32231404958</v>
      </c>
      <c r="C32" s="152">
        <f>+D14*65%</f>
        <v>175500</v>
      </c>
      <c r="D32" s="153">
        <f t="shared" si="14"/>
        <v>-126.05042016806743</v>
      </c>
      <c r="E32" s="154">
        <f t="shared" si="15"/>
        <v>0</v>
      </c>
      <c r="F32" s="152">
        <f t="shared" si="16"/>
        <v>-126.05042016806743</v>
      </c>
      <c r="G32" s="160">
        <f t="shared" si="17"/>
        <v>0.566515595841109</v>
      </c>
      <c r="H32" s="161">
        <f t="shared" si="18"/>
        <v>-117040.78912290058</v>
      </c>
      <c r="I32" s="140">
        <f>+$O38</f>
        <v>0</v>
      </c>
      <c r="J32" s="162">
        <f t="shared" si="22"/>
        <v>351.4046114313492</v>
      </c>
      <c r="K32" s="142">
        <f t="shared" si="19"/>
        <v>-477.45503159941666</v>
      </c>
      <c r="L32" s="141">
        <f t="shared" si="20"/>
        <v>-81849.43398847143</v>
      </c>
      <c r="M32" s="144">
        <f t="shared" si="23"/>
        <v>0.6392561983471075</v>
      </c>
      <c r="N32" s="179"/>
      <c r="O32" s="184"/>
      <c r="P32" s="174"/>
      <c r="Q32" s="186"/>
      <c r="R32" s="182"/>
      <c r="S32" s="181"/>
      <c r="T32" s="308"/>
      <c r="U32" s="430" t="s">
        <v>170</v>
      </c>
      <c r="V32" s="431"/>
      <c r="W32" s="373">
        <v>60</v>
      </c>
      <c r="X32" s="371">
        <v>2521</v>
      </c>
      <c r="Y32" s="372">
        <v>84000</v>
      </c>
      <c r="Z32" s="376" t="s">
        <v>159</v>
      </c>
      <c r="AA32" s="379">
        <f>+W32*X32+Y32+X12+X13</f>
        <v>235260.00000200002</v>
      </c>
      <c r="AB32" s="196"/>
      <c r="AD32" s="158">
        <v>10</v>
      </c>
      <c r="AE32" s="158"/>
      <c r="AF32" s="158"/>
      <c r="AG32" s="158">
        <f aca="true" t="shared" si="28" ref="AG32:AG37">+AG19*$AJ$28</f>
        <v>8.03</v>
      </c>
      <c r="AH32" s="158"/>
      <c r="AI32" s="158">
        <f aca="true" t="shared" si="29" ref="AI32:AI37">+AI19*$AJ$28</f>
        <v>4.133333333333334</v>
      </c>
      <c r="AJ32" s="158"/>
      <c r="AK32" s="158">
        <f aca="true" t="shared" si="30" ref="AK32:AK37">+AK19*$AJ$28</f>
        <v>2.8359259259259257</v>
      </c>
      <c r="AL32" s="158"/>
      <c r="AM32" s="158">
        <f aca="true" t="shared" si="31" ref="AM32:AM37">+AM19*$AJ$28</f>
        <v>2.188148148148148</v>
      </c>
      <c r="AN32" s="158"/>
      <c r="AO32" s="158">
        <f aca="true" t="shared" si="32" ref="AO32:AO37">+AO19*$AJ$28</f>
        <v>1.8003703703703704</v>
      </c>
      <c r="AP32" s="158"/>
      <c r="AQ32" s="158">
        <f aca="true" t="shared" si="33" ref="AQ32:AQ37">+AQ19*$AJ$28</f>
        <v>1.5429629629629629</v>
      </c>
    </row>
    <row r="33" spans="1:43" ht="13.5" thickBot="1">
      <c r="A33" s="187">
        <f t="shared" si="12"/>
        <v>607310.924369748</v>
      </c>
      <c r="B33" s="188">
        <f t="shared" si="13"/>
        <v>156198.34710743802</v>
      </c>
      <c r="C33" s="189">
        <f>+D14*70%</f>
        <v>189000</v>
      </c>
      <c r="D33" s="190">
        <f t="shared" si="14"/>
        <v>734720.168067227</v>
      </c>
      <c r="E33" s="191">
        <f t="shared" si="15"/>
        <v>0</v>
      </c>
      <c r="F33" s="189">
        <f t="shared" si="16"/>
        <v>734720.168067227</v>
      </c>
      <c r="G33" s="192">
        <f t="shared" si="17"/>
        <v>86.00534362997706</v>
      </c>
      <c r="H33" s="193">
        <f t="shared" si="18"/>
        <v>22951442.780093808</v>
      </c>
      <c r="I33" s="140">
        <f>+$O39</f>
        <v>2.6766666666666667</v>
      </c>
      <c r="J33" s="162">
        <f t="shared" si="22"/>
        <v>286.3219668032503</v>
      </c>
      <c r="K33" s="142">
        <f t="shared" si="19"/>
        <v>127122.92173067573</v>
      </c>
      <c r="L33" s="141">
        <f t="shared" si="20"/>
        <v>21792500.868115842</v>
      </c>
      <c r="M33" s="144">
        <f t="shared" si="23"/>
        <v>97.04842975206611</v>
      </c>
      <c r="N33" s="179">
        <v>40</v>
      </c>
      <c r="O33" s="184">
        <f>+AG35</f>
        <v>5.3533333333333335</v>
      </c>
      <c r="P33" s="174">
        <f>+AI35</f>
        <v>2.7555555555555555</v>
      </c>
      <c r="Q33" s="186">
        <f>+AK35</f>
        <v>1.8907407407407408</v>
      </c>
      <c r="R33" s="186">
        <f>+AM35</f>
        <v>1.458888888888889</v>
      </c>
      <c r="S33" s="185">
        <f>+AO35</f>
        <v>1.2003703703703703</v>
      </c>
      <c r="T33" s="309">
        <f>+AQ35</f>
        <v>1.0285185185185186</v>
      </c>
      <c r="U33" s="343"/>
      <c r="V33" s="344"/>
      <c r="W33" s="445" t="s">
        <v>164</v>
      </c>
      <c r="X33" s="445"/>
      <c r="Y33" s="445"/>
      <c r="Z33" s="445"/>
      <c r="AA33" s="382">
        <f>+AA32-AA31</f>
        <v>25260.000002000015</v>
      </c>
      <c r="AB33" s="407">
        <f>+((AA32-Y32)/AA30-100%)</f>
        <v>0.20047619049206356</v>
      </c>
      <c r="AD33" s="158">
        <v>20</v>
      </c>
      <c r="AE33" s="158"/>
      <c r="AF33" s="158"/>
      <c r="AG33" s="158">
        <f t="shared" si="28"/>
        <v>7.137777777777778</v>
      </c>
      <c r="AH33" s="158"/>
      <c r="AI33" s="158">
        <f t="shared" si="29"/>
        <v>3.674074074074074</v>
      </c>
      <c r="AJ33" s="158"/>
      <c r="AK33" s="158">
        <f t="shared" si="30"/>
        <v>2.5207407407407407</v>
      </c>
      <c r="AL33" s="158"/>
      <c r="AM33" s="158">
        <f t="shared" si="31"/>
        <v>1.9451851851851851</v>
      </c>
      <c r="AN33" s="158"/>
      <c r="AO33" s="158">
        <f t="shared" si="32"/>
        <v>1.6003703703703704</v>
      </c>
      <c r="AP33" s="158"/>
      <c r="AQ33" s="158">
        <f t="shared" si="33"/>
        <v>1.3714814814814815</v>
      </c>
    </row>
    <row r="34" spans="1:43" ht="12.75">
      <c r="A34" s="194" t="str">
        <f aca="true" t="shared" si="34" ref="A34:B36">+P19</f>
        <v>Pojišťovna</v>
      </c>
      <c r="B34" s="195" t="str">
        <f t="shared" si="34"/>
        <v>ALLIANZ</v>
      </c>
      <c r="C34" s="12"/>
      <c r="D34" s="12"/>
      <c r="E34" s="12"/>
      <c r="F34" s="13"/>
      <c r="G34" s="196"/>
      <c r="H34" s="22"/>
      <c r="I34" s="197"/>
      <c r="J34" s="198"/>
      <c r="K34" s="198"/>
      <c r="N34" s="179"/>
      <c r="O34" s="184"/>
      <c r="P34" s="174"/>
      <c r="Q34" s="186"/>
      <c r="R34" s="182"/>
      <c r="S34" s="181"/>
      <c r="T34" s="308"/>
      <c r="U34" s="343"/>
      <c r="V34" s="343"/>
      <c r="W34" s="445" t="s">
        <v>174</v>
      </c>
      <c r="X34" s="445"/>
      <c r="Y34" s="445"/>
      <c r="Z34" s="445"/>
      <c r="AA34" s="383">
        <f>+AA33/W32*12</f>
        <v>5052.000000400003</v>
      </c>
      <c r="AB34" s="384">
        <f>+AB33/W32*12</f>
        <v>0.040095238098412714</v>
      </c>
      <c r="AD34" s="158">
        <v>30</v>
      </c>
      <c r="AE34" s="158"/>
      <c r="AF34" s="158"/>
      <c r="AG34" s="158">
        <f t="shared" si="28"/>
        <v>6.245555555555556</v>
      </c>
      <c r="AH34" s="158"/>
      <c r="AI34" s="158">
        <f t="shared" si="29"/>
        <v>3.214814814814815</v>
      </c>
      <c r="AJ34" s="158"/>
      <c r="AK34" s="158">
        <f t="shared" si="30"/>
        <v>2.2055555555555557</v>
      </c>
      <c r="AL34" s="158"/>
      <c r="AM34" s="158">
        <f t="shared" si="31"/>
        <v>1.701851851851852</v>
      </c>
      <c r="AN34" s="158"/>
      <c r="AO34" s="158">
        <f t="shared" si="32"/>
        <v>1.4003703703703703</v>
      </c>
      <c r="AP34" s="158"/>
      <c r="AQ34" s="158">
        <f t="shared" si="33"/>
        <v>1.2</v>
      </c>
    </row>
    <row r="35" spans="1:43" ht="12.75">
      <c r="A35" s="199" t="str">
        <f t="shared" si="34"/>
        <v>sazba</v>
      </c>
      <c r="B35" s="200">
        <f t="shared" si="34"/>
        <v>0.0255</v>
      </c>
      <c r="C35" s="34"/>
      <c r="D35" s="34"/>
      <c r="E35" s="34"/>
      <c r="F35" s="22"/>
      <c r="G35" s="196"/>
      <c r="H35" s="22"/>
      <c r="I35" s="197"/>
      <c r="J35" s="198"/>
      <c r="K35" s="198"/>
      <c r="N35" s="179">
        <v>50</v>
      </c>
      <c r="O35" s="184">
        <f>+AG36</f>
        <v>4.461111111111111</v>
      </c>
      <c r="P35" s="174">
        <f>+AI36</f>
        <v>2.2962962962962963</v>
      </c>
      <c r="Q35" s="186">
        <f>+AK36</f>
        <v>1.5755555555555556</v>
      </c>
      <c r="R35" s="186">
        <f>+AM36</f>
        <v>1.2159259259259259</v>
      </c>
      <c r="S35" s="185">
        <f>+AO36</f>
        <v>1.0003703703703704</v>
      </c>
      <c r="T35" s="309">
        <f>+AQ36</f>
        <v>0.857037037037037</v>
      </c>
      <c r="U35" s="343"/>
      <c r="V35" s="345"/>
      <c r="W35" s="449" t="s">
        <v>173</v>
      </c>
      <c r="X35" s="449"/>
      <c r="Y35" s="449"/>
      <c r="Z35" s="449"/>
      <c r="AA35" s="385">
        <f>-Y10</f>
        <v>-36446.28099173554</v>
      </c>
      <c r="AB35" s="386"/>
      <c r="AD35" s="158">
        <v>40</v>
      </c>
      <c r="AE35" s="158"/>
      <c r="AF35" s="158"/>
      <c r="AG35" s="158">
        <f t="shared" si="28"/>
        <v>5.3533333333333335</v>
      </c>
      <c r="AH35" s="158"/>
      <c r="AI35" s="158">
        <f t="shared" si="29"/>
        <v>2.7555555555555555</v>
      </c>
      <c r="AJ35" s="158"/>
      <c r="AK35" s="158">
        <f t="shared" si="30"/>
        <v>1.8907407407407408</v>
      </c>
      <c r="AL35" s="158"/>
      <c r="AM35" s="158">
        <f t="shared" si="31"/>
        <v>1.458888888888889</v>
      </c>
      <c r="AN35" s="158"/>
      <c r="AO35" s="158">
        <f t="shared" si="32"/>
        <v>1.2003703703703703</v>
      </c>
      <c r="AP35" s="158"/>
      <c r="AQ35" s="158">
        <f t="shared" si="33"/>
        <v>1.0285185185185186</v>
      </c>
    </row>
    <row r="36" spans="1:43" ht="15" customHeight="1">
      <c r="A36" s="201" t="str">
        <f t="shared" si="34"/>
        <v>Spoluúčast </v>
      </c>
      <c r="B36" s="202">
        <f t="shared" si="34"/>
        <v>0</v>
      </c>
      <c r="C36" s="202"/>
      <c r="D36" s="202"/>
      <c r="E36" s="202"/>
      <c r="F36" s="203"/>
      <c r="G36" s="196"/>
      <c r="H36" s="22"/>
      <c r="I36" s="197"/>
      <c r="J36" s="198"/>
      <c r="K36" s="198"/>
      <c r="N36" s="179"/>
      <c r="O36" s="184"/>
      <c r="P36" s="174"/>
      <c r="Q36" s="186"/>
      <c r="R36" s="182"/>
      <c r="S36" s="181"/>
      <c r="T36" s="308"/>
      <c r="U36" s="339"/>
      <c r="V36" s="340"/>
      <c r="W36" s="445"/>
      <c r="X36" s="445"/>
      <c r="Y36" s="445"/>
      <c r="Z36" s="445"/>
      <c r="AA36" s="387"/>
      <c r="AB36" s="388"/>
      <c r="AD36" s="158">
        <v>50</v>
      </c>
      <c r="AE36" s="158"/>
      <c r="AF36" s="158"/>
      <c r="AG36" s="158">
        <f t="shared" si="28"/>
        <v>4.461111111111111</v>
      </c>
      <c r="AH36" s="158"/>
      <c r="AI36" s="158">
        <f t="shared" si="29"/>
        <v>2.2962962962962963</v>
      </c>
      <c r="AJ36" s="158"/>
      <c r="AK36" s="158">
        <f t="shared" si="30"/>
        <v>1.5755555555555556</v>
      </c>
      <c r="AL36" s="158"/>
      <c r="AM36" s="158">
        <f t="shared" si="31"/>
        <v>1.2159259259259259</v>
      </c>
      <c r="AN36" s="158"/>
      <c r="AO36" s="158">
        <f t="shared" si="32"/>
        <v>1.0003703703703704</v>
      </c>
      <c r="AP36" s="158"/>
      <c r="AQ36" s="158">
        <f t="shared" si="33"/>
        <v>0.857037037037037</v>
      </c>
    </row>
    <row r="37" spans="1:43" ht="6" customHeight="1" thickBot="1">
      <c r="A37" s="204"/>
      <c r="B37" s="205" t="s">
        <v>96</v>
      </c>
      <c r="C37" s="82"/>
      <c r="D37" s="82"/>
      <c r="E37" s="82"/>
      <c r="F37" s="170"/>
      <c r="G37" s="206"/>
      <c r="H37" s="170"/>
      <c r="I37" s="207"/>
      <c r="N37" s="179">
        <v>60</v>
      </c>
      <c r="O37" s="184">
        <f>+AG37</f>
        <v>3.568888888888889</v>
      </c>
      <c r="P37" s="174">
        <f>+AI37</f>
        <v>1.837037037037037</v>
      </c>
      <c r="Q37" s="186">
        <f>+AK37</f>
        <v>1.2603703703703704</v>
      </c>
      <c r="R37" s="186">
        <f>+AM37</f>
        <v>0.9725925925925926</v>
      </c>
      <c r="S37" s="185">
        <f>+AO37</f>
        <v>0.8003703703703704</v>
      </c>
      <c r="T37" s="309">
        <f>+AQ37</f>
        <v>0.6859259259259259</v>
      </c>
      <c r="U37" s="361"/>
      <c r="V37" s="362"/>
      <c r="W37" s="446"/>
      <c r="X37" s="447"/>
      <c r="Y37" s="447"/>
      <c r="Z37" s="448"/>
      <c r="AA37" s="381"/>
      <c r="AB37" s="363"/>
      <c r="AD37" s="158">
        <v>60</v>
      </c>
      <c r="AE37" s="158"/>
      <c r="AF37" s="158"/>
      <c r="AG37" s="158">
        <f t="shared" si="28"/>
        <v>3.568888888888889</v>
      </c>
      <c r="AH37" s="158"/>
      <c r="AI37" s="158">
        <f t="shared" si="29"/>
        <v>1.837037037037037</v>
      </c>
      <c r="AJ37" s="158"/>
      <c r="AK37" s="158">
        <f t="shared" si="30"/>
        <v>1.2603703703703704</v>
      </c>
      <c r="AL37" s="158"/>
      <c r="AM37" s="158">
        <f t="shared" si="31"/>
        <v>0.9725925925925926</v>
      </c>
      <c r="AN37" s="158"/>
      <c r="AO37" s="158">
        <f t="shared" si="32"/>
        <v>0.8003703703703704</v>
      </c>
      <c r="AP37" s="158"/>
      <c r="AQ37" s="158">
        <f t="shared" si="33"/>
        <v>0.6859259259259259</v>
      </c>
    </row>
    <row r="38" spans="1:43" ht="18.75" thickBot="1">
      <c r="A38" s="78" t="s">
        <v>98</v>
      </c>
      <c r="B38" s="34"/>
      <c r="C38" s="34"/>
      <c r="D38" s="34"/>
      <c r="E38" s="34"/>
      <c r="F38" s="34"/>
      <c r="G38" s="34"/>
      <c r="H38" s="22"/>
      <c r="N38" s="179"/>
      <c r="O38" s="184"/>
      <c r="P38" s="174"/>
      <c r="Q38" s="186"/>
      <c r="R38" s="182"/>
      <c r="S38" s="181"/>
      <c r="T38" s="308"/>
      <c r="U38" s="389"/>
      <c r="V38" s="390" t="s">
        <v>158</v>
      </c>
      <c r="W38" s="408" t="s">
        <v>162</v>
      </c>
      <c r="X38" s="409"/>
      <c r="Y38" s="409"/>
      <c r="Z38" s="409"/>
      <c r="AA38" s="391" t="s">
        <v>160</v>
      </c>
      <c r="AB38" s="380"/>
      <c r="AD38" s="158">
        <v>70</v>
      </c>
      <c r="AE38" s="158"/>
      <c r="AF38" s="158"/>
      <c r="AG38" s="158">
        <f>+AG25*$AJ$28</f>
        <v>2.6766666666666667</v>
      </c>
      <c r="AH38" s="158"/>
      <c r="AI38" s="158">
        <f>+AI25*$AJ$28</f>
        <v>1.3777777777777778</v>
      </c>
      <c r="AJ38" s="158"/>
      <c r="AK38" s="158">
        <f>+AK25*$AJ$28</f>
        <v>0.9455555555555556</v>
      </c>
      <c r="AL38" s="158"/>
      <c r="AM38" s="158">
        <f>+AM25*$AJ$28</f>
        <v>0.7296296296296296</v>
      </c>
      <c r="AN38" s="158"/>
      <c r="AO38" s="158">
        <f>+AO25*$AJ$28</f>
        <v>0.6003703703703703</v>
      </c>
      <c r="AP38" s="158"/>
      <c r="AQ38" s="158">
        <f>+AQ25*$AJ$28</f>
        <v>0.5144444444444445</v>
      </c>
    </row>
    <row r="39" spans="1:28" ht="23.25" customHeight="1" thickBot="1">
      <c r="A39" s="78"/>
      <c r="B39" s="34"/>
      <c r="C39" s="34"/>
      <c r="D39" s="34"/>
      <c r="E39" s="34"/>
      <c r="F39" s="34"/>
      <c r="G39" s="34"/>
      <c r="H39" s="22"/>
      <c r="N39" s="208">
        <v>70</v>
      </c>
      <c r="O39" s="209">
        <f>+AG38</f>
        <v>2.6766666666666667</v>
      </c>
      <c r="P39" s="174">
        <f>+AI38</f>
        <v>1.3777777777777778</v>
      </c>
      <c r="Q39" s="210">
        <f>+AK38</f>
        <v>0.9455555555555556</v>
      </c>
      <c r="R39" s="186">
        <f>+AM38</f>
        <v>0.7296296296296296</v>
      </c>
      <c r="S39" s="185">
        <f>+AO38</f>
        <v>0.6003703703703703</v>
      </c>
      <c r="T39" s="309">
        <f>+AQ38</f>
        <v>0.5144444444444445</v>
      </c>
      <c r="U39" s="474" t="s">
        <v>171</v>
      </c>
      <c r="V39" s="475"/>
      <c r="W39" s="475"/>
      <c r="X39" s="475"/>
      <c r="Y39" s="475"/>
      <c r="Z39" s="475"/>
      <c r="AA39" s="475"/>
      <c r="AB39" s="476"/>
    </row>
    <row r="40" spans="1:28" ht="12.75" customHeight="1">
      <c r="A40" s="78"/>
      <c r="B40" s="34"/>
      <c r="C40" s="34"/>
      <c r="D40" s="34"/>
      <c r="E40" s="211" t="s">
        <v>54</v>
      </c>
      <c r="F40" s="211"/>
      <c r="G40" s="211"/>
      <c r="H40" s="22"/>
      <c r="U40" s="392" t="s">
        <v>155</v>
      </c>
      <c r="V40" s="393">
        <v>270000</v>
      </c>
      <c r="W40" s="393">
        <v>270000</v>
      </c>
      <c r="X40" s="393">
        <v>270000</v>
      </c>
      <c r="Y40" s="393">
        <v>270000</v>
      </c>
      <c r="Z40" s="393">
        <v>270000</v>
      </c>
      <c r="AA40" s="393">
        <v>270000</v>
      </c>
      <c r="AB40" s="393">
        <v>270000</v>
      </c>
    </row>
    <row r="41" spans="1:28" ht="12.75" customHeight="1">
      <c r="A41" s="78"/>
      <c r="B41" s="34"/>
      <c r="C41" s="34"/>
      <c r="D41" s="34"/>
      <c r="E41" s="211" t="s">
        <v>55</v>
      </c>
      <c r="F41" s="211"/>
      <c r="G41" s="211"/>
      <c r="H41" s="22"/>
      <c r="U41" s="394" t="s">
        <v>145</v>
      </c>
      <c r="V41" s="395">
        <v>81000</v>
      </c>
      <c r="W41" s="395">
        <v>81000</v>
      </c>
      <c r="X41" s="395">
        <v>81000</v>
      </c>
      <c r="Y41" s="395">
        <v>81000</v>
      </c>
      <c r="Z41" s="395">
        <v>81000</v>
      </c>
      <c r="AA41" s="395">
        <v>81000</v>
      </c>
      <c r="AB41" s="395">
        <v>81000</v>
      </c>
    </row>
    <row r="42" spans="1:28" ht="15" customHeight="1">
      <c r="A42" s="78" t="s">
        <v>57</v>
      </c>
      <c r="B42" s="34"/>
      <c r="C42" s="34"/>
      <c r="D42" s="34"/>
      <c r="E42" s="34"/>
      <c r="F42" s="34"/>
      <c r="G42" s="34"/>
      <c r="H42" s="22"/>
      <c r="U42" s="394" t="s">
        <v>156</v>
      </c>
      <c r="V42" s="396">
        <v>12</v>
      </c>
      <c r="W42" s="396">
        <v>24</v>
      </c>
      <c r="X42" s="396">
        <v>36</v>
      </c>
      <c r="Y42" s="396">
        <v>48</v>
      </c>
      <c r="Z42" s="396">
        <v>60</v>
      </c>
      <c r="AA42" s="396">
        <v>72</v>
      </c>
      <c r="AB42" s="396">
        <v>84</v>
      </c>
    </row>
    <row r="43" spans="1:28" ht="17.25" customHeight="1">
      <c r="A43" s="78" t="s">
        <v>58</v>
      </c>
      <c r="B43" s="34"/>
      <c r="C43" s="34"/>
      <c r="D43" s="34"/>
      <c r="E43" s="34"/>
      <c r="F43" s="34"/>
      <c r="G43" s="34"/>
      <c r="H43" s="22"/>
      <c r="U43" s="394" t="s">
        <v>157</v>
      </c>
      <c r="V43" s="397">
        <v>16863</v>
      </c>
      <c r="W43" s="397">
        <v>8680</v>
      </c>
      <c r="X43" s="397">
        <v>5955</v>
      </c>
      <c r="Y43" s="397">
        <v>4595</v>
      </c>
      <c r="Z43" s="397">
        <v>3781</v>
      </c>
      <c r="AA43" s="397">
        <v>3240</v>
      </c>
      <c r="AB43" s="397">
        <v>2855</v>
      </c>
    </row>
    <row r="44" spans="1:28" ht="13.5" customHeight="1" thickBot="1">
      <c r="A44" s="78" t="s">
        <v>59</v>
      </c>
      <c r="B44" s="34"/>
      <c r="C44" s="34"/>
      <c r="D44" s="34"/>
      <c r="E44" s="34"/>
      <c r="F44" s="34"/>
      <c r="G44" s="34"/>
      <c r="H44" s="22"/>
      <c r="U44" s="398" t="s">
        <v>158</v>
      </c>
      <c r="V44" s="399">
        <v>0.1351</v>
      </c>
      <c r="W44" s="399">
        <v>0.0993</v>
      </c>
      <c r="X44" s="399">
        <v>0.0869</v>
      </c>
      <c r="Y44" s="399">
        <v>0.0806</v>
      </c>
      <c r="Z44" s="399">
        <v>0.0768</v>
      </c>
      <c r="AA44" s="399">
        <v>0.0743</v>
      </c>
      <c r="AB44" s="399">
        <v>0.0725</v>
      </c>
    </row>
    <row r="45" spans="1:28" ht="18" customHeight="1">
      <c r="A45" s="78" t="s">
        <v>60</v>
      </c>
      <c r="B45" s="34"/>
      <c r="C45" s="34"/>
      <c r="D45" s="34"/>
      <c r="E45" s="34"/>
      <c r="F45" s="34"/>
      <c r="G45" s="34"/>
      <c r="H45" s="22"/>
      <c r="U45" s="477" t="s">
        <v>142</v>
      </c>
      <c r="V45" s="478"/>
      <c r="W45" s="478"/>
      <c r="X45" s="478"/>
      <c r="Y45" s="478"/>
      <c r="Z45" s="478"/>
      <c r="AA45" s="478"/>
      <c r="AB45" s="479"/>
    </row>
    <row r="46" spans="1:28" ht="12.75">
      <c r="A46" s="78" t="s">
        <v>61</v>
      </c>
      <c r="B46" s="34"/>
      <c r="C46" s="34"/>
      <c r="D46" s="34"/>
      <c r="E46" s="34"/>
      <c r="F46" s="34"/>
      <c r="G46" s="34"/>
      <c r="H46" s="22"/>
      <c r="U46" s="477"/>
      <c r="V46" s="478"/>
      <c r="W46" s="478"/>
      <c r="X46" s="478"/>
      <c r="Y46" s="478"/>
      <c r="Z46" s="478"/>
      <c r="AA46" s="478"/>
      <c r="AB46" s="479"/>
    </row>
    <row r="47" spans="1:49" s="353" customFormat="1" ht="9" thickBot="1">
      <c r="A47" s="350"/>
      <c r="B47" s="351"/>
      <c r="C47" s="351"/>
      <c r="D47" s="351"/>
      <c r="E47" s="351"/>
      <c r="F47" s="351"/>
      <c r="G47" s="351"/>
      <c r="H47" s="352"/>
      <c r="U47" s="354" t="s">
        <v>172</v>
      </c>
      <c r="V47" s="355"/>
      <c r="W47" s="341">
        <f>+(W10-Y32)/1.21*X47/100</f>
        <v>3123.9669421487606</v>
      </c>
      <c r="X47" s="365">
        <v>3</v>
      </c>
      <c r="Y47" s="356"/>
      <c r="Z47" s="356"/>
      <c r="AA47" s="356"/>
      <c r="AB47" s="357"/>
      <c r="AW47" s="351"/>
    </row>
    <row r="48" spans="1:49" s="349" customFormat="1" ht="12.75">
      <c r="A48" s="346" t="s">
        <v>62</v>
      </c>
      <c r="B48" s="347"/>
      <c r="C48" s="347"/>
      <c r="D48" s="347"/>
      <c r="E48" s="347"/>
      <c r="F48" s="347"/>
      <c r="G48" s="347"/>
      <c r="H48" s="348"/>
      <c r="AH48" s="349">
        <v>2</v>
      </c>
      <c r="AW48" s="347"/>
    </row>
    <row r="49" spans="1:8" ht="9" customHeight="1">
      <c r="A49" s="78"/>
      <c r="B49" s="34"/>
      <c r="C49" s="34"/>
      <c r="D49" s="34"/>
      <c r="E49" s="34"/>
      <c r="F49" s="34"/>
      <c r="G49" s="34"/>
      <c r="H49" s="22"/>
    </row>
    <row r="50" spans="1:26" ht="13.5" customHeight="1" thickBot="1">
      <c r="A50" s="78"/>
      <c r="B50" s="34"/>
      <c r="C50" s="34"/>
      <c r="D50" s="34"/>
      <c r="E50" s="34"/>
      <c r="F50" s="34"/>
      <c r="G50" s="34"/>
      <c r="H50" s="22"/>
      <c r="Y50" s="1"/>
      <c r="Z50" s="1"/>
    </row>
    <row r="51" spans="1:26" ht="18.75" customHeight="1" thickBot="1">
      <c r="A51" s="213" t="s">
        <v>103</v>
      </c>
      <c r="B51" s="12"/>
      <c r="C51" s="12"/>
      <c r="D51" s="12"/>
      <c r="E51" s="12"/>
      <c r="F51" s="485" t="s">
        <v>91</v>
      </c>
      <c r="G51" s="485"/>
      <c r="H51" s="486"/>
      <c r="Y51" s="1"/>
      <c r="Z51" s="1"/>
    </row>
    <row r="52" spans="1:26" ht="18.75" thickBot="1">
      <c r="A52" s="214" t="s">
        <v>102</v>
      </c>
      <c r="B52" s="215"/>
      <c r="C52" s="216">
        <f>+C54+C77</f>
        <v>500000</v>
      </c>
      <c r="D52" s="217" t="s">
        <v>63</v>
      </c>
      <c r="E52" s="218" t="s">
        <v>88</v>
      </c>
      <c r="F52" s="487" t="s">
        <v>97</v>
      </c>
      <c r="G52" s="487"/>
      <c r="H52" s="488"/>
      <c r="Y52" s="1"/>
      <c r="Z52" s="1"/>
    </row>
    <row r="53" spans="1:8" ht="16.5" thickBot="1">
      <c r="A53" s="212" t="s">
        <v>84</v>
      </c>
      <c r="B53" s="34"/>
      <c r="C53" s="219">
        <v>36</v>
      </c>
      <c r="D53" s="220" t="s">
        <v>75</v>
      </c>
      <c r="E53" s="201" t="s">
        <v>89</v>
      </c>
      <c r="F53" s="489"/>
      <c r="G53" s="489"/>
      <c r="H53" s="490"/>
    </row>
    <row r="54" spans="1:8" ht="12.75">
      <c r="A54" s="221" t="s">
        <v>100</v>
      </c>
      <c r="B54" s="222"/>
      <c r="C54" s="223">
        <v>481500</v>
      </c>
      <c r="D54" s="34"/>
      <c r="E54" s="491"/>
      <c r="F54" s="492"/>
      <c r="G54" s="492"/>
      <c r="H54" s="493"/>
    </row>
    <row r="55" spans="1:8" ht="18.75" thickBot="1">
      <c r="A55" s="224" t="s">
        <v>87</v>
      </c>
      <c r="B55" s="225"/>
      <c r="C55" s="226"/>
      <c r="D55" s="34"/>
      <c r="E55" s="482"/>
      <c r="F55" s="483"/>
      <c r="G55" s="483"/>
      <c r="H55" s="484"/>
    </row>
    <row r="56" spans="1:8" ht="13.5" thickBot="1">
      <c r="A56" s="227"/>
      <c r="B56" s="225"/>
      <c r="C56" s="226"/>
      <c r="D56" s="34"/>
      <c r="E56" s="34"/>
      <c r="F56" s="34"/>
      <c r="G56" s="34"/>
      <c r="H56" s="22"/>
    </row>
    <row r="57" spans="1:8" ht="12.75">
      <c r="A57" s="221"/>
      <c r="B57" s="228" t="s">
        <v>64</v>
      </c>
      <c r="C57" s="229" t="s">
        <v>37</v>
      </c>
      <c r="D57" s="230" t="s">
        <v>70</v>
      </c>
      <c r="E57" s="231" t="s">
        <v>81</v>
      </c>
      <c r="F57" s="96" t="s">
        <v>69</v>
      </c>
      <c r="G57" s="232" t="s">
        <v>49</v>
      </c>
      <c r="H57" s="22"/>
    </row>
    <row r="58" spans="1:8" ht="12.75">
      <c r="A58" s="233" t="s">
        <v>67</v>
      </c>
      <c r="B58" s="234" t="s">
        <v>63</v>
      </c>
      <c r="C58" s="235" t="s">
        <v>66</v>
      </c>
      <c r="D58" s="98" t="s">
        <v>71</v>
      </c>
      <c r="E58" s="236" t="s">
        <v>82</v>
      </c>
      <c r="F58" s="237" t="s">
        <v>73</v>
      </c>
      <c r="G58" s="238" t="s">
        <v>79</v>
      </c>
      <c r="H58" s="22"/>
    </row>
    <row r="59" spans="1:8" ht="13.5" thickBot="1">
      <c r="A59" s="239"/>
      <c r="B59" s="240" t="s">
        <v>65</v>
      </c>
      <c r="C59" s="241" t="s">
        <v>47</v>
      </c>
      <c r="D59" s="242" t="s">
        <v>72</v>
      </c>
      <c r="E59" s="243" t="s">
        <v>68</v>
      </c>
      <c r="F59" s="244" t="s">
        <v>41</v>
      </c>
      <c r="G59" s="171" t="s">
        <v>80</v>
      </c>
      <c r="H59" s="22"/>
    </row>
    <row r="60" spans="1:8" ht="12.75">
      <c r="A60" s="245">
        <v>0</v>
      </c>
      <c r="B60" s="246"/>
      <c r="C60" s="247"/>
      <c r="D60" s="63"/>
      <c r="E60" s="248"/>
      <c r="F60" s="48"/>
      <c r="G60" s="249"/>
      <c r="H60" s="22"/>
    </row>
    <row r="61" spans="1:8" ht="12.75">
      <c r="A61" s="250">
        <v>5</v>
      </c>
      <c r="B61" s="251"/>
      <c r="C61" s="252"/>
      <c r="D61" s="202"/>
      <c r="E61" s="253"/>
      <c r="F61" s="254"/>
      <c r="G61" s="255"/>
      <c r="H61" s="22"/>
    </row>
    <row r="62" spans="1:8" ht="12.75">
      <c r="A62" s="250">
        <v>10</v>
      </c>
      <c r="B62" s="256">
        <f aca="true" t="shared" si="35" ref="B62:G74">+C21</f>
        <v>27000</v>
      </c>
      <c r="C62" s="252">
        <f t="shared" si="35"/>
        <v>2204412.6050420166</v>
      </c>
      <c r="D62" s="257">
        <f t="shared" si="35"/>
        <v>0</v>
      </c>
      <c r="E62" s="258">
        <f t="shared" si="35"/>
        <v>2204412.6050420166</v>
      </c>
      <c r="F62" s="259">
        <f t="shared" si="35"/>
        <v>256.27290597965083</v>
      </c>
      <c r="G62" s="260">
        <f t="shared" si="35"/>
        <v>68923684.61450572</v>
      </c>
      <c r="H62" s="22"/>
    </row>
    <row r="63" spans="1:8" ht="12.75">
      <c r="A63" s="250">
        <v>15</v>
      </c>
      <c r="B63" s="256">
        <f t="shared" si="35"/>
        <v>40500</v>
      </c>
      <c r="C63" s="252">
        <f t="shared" si="35"/>
        <v>-126.05042016806681</v>
      </c>
      <c r="D63" s="257">
        <f t="shared" si="35"/>
        <v>0</v>
      </c>
      <c r="E63" s="258">
        <f t="shared" si="35"/>
        <v>-126.05042016806681</v>
      </c>
      <c r="F63" s="259">
        <f t="shared" si="35"/>
        <v>0.1307343682710252</v>
      </c>
      <c r="G63" s="260">
        <f t="shared" si="35"/>
        <v>-234701.7205668232</v>
      </c>
      <c r="H63" s="22"/>
    </row>
    <row r="64" spans="1:8" ht="12.75">
      <c r="A64" s="250">
        <v>20</v>
      </c>
      <c r="B64" s="256">
        <f t="shared" si="35"/>
        <v>54000</v>
      </c>
      <c r="C64" s="252">
        <f t="shared" si="35"/>
        <v>1959463.8655462186</v>
      </c>
      <c r="D64" s="257">
        <f t="shared" si="35"/>
        <v>0</v>
      </c>
      <c r="E64" s="258">
        <f t="shared" si="35"/>
        <v>1959463.8655462186</v>
      </c>
      <c r="F64" s="259">
        <f t="shared" si="35"/>
        <v>227.89497892137192</v>
      </c>
      <c r="G64" s="260">
        <f t="shared" si="35"/>
        <v>61261644.30877042</v>
      </c>
      <c r="H64" s="22"/>
    </row>
    <row r="65" spans="1:8" ht="12.75">
      <c r="A65" s="250">
        <v>25</v>
      </c>
      <c r="B65" s="256">
        <f t="shared" si="35"/>
        <v>67500</v>
      </c>
      <c r="C65" s="252">
        <f t="shared" si="35"/>
        <v>-126.05042016806772</v>
      </c>
      <c r="D65" s="257">
        <f t="shared" si="35"/>
        <v>0</v>
      </c>
      <c r="E65" s="258">
        <f t="shared" si="35"/>
        <v>-126.05042016806772</v>
      </c>
      <c r="F65" s="259">
        <f t="shared" si="35"/>
        <v>0.21789061378504193</v>
      </c>
      <c r="G65" s="260">
        <f t="shared" si="35"/>
        <v>-211169.53427803869</v>
      </c>
      <c r="H65" s="22"/>
    </row>
    <row r="66" spans="1:8" ht="12.75">
      <c r="A66" s="250">
        <v>30</v>
      </c>
      <c r="B66" s="256">
        <f t="shared" si="35"/>
        <v>81000</v>
      </c>
      <c r="C66" s="252">
        <f t="shared" si="35"/>
        <v>1714515.12605042</v>
      </c>
      <c r="D66" s="257">
        <f t="shared" si="35"/>
        <v>0</v>
      </c>
      <c r="E66" s="258">
        <f t="shared" si="35"/>
        <v>1714515.12605042</v>
      </c>
      <c r="F66" s="259">
        <f t="shared" si="35"/>
        <v>199.51705186309295</v>
      </c>
      <c r="G66" s="260">
        <f t="shared" si="35"/>
        <v>53599604.0030351</v>
      </c>
      <c r="H66" s="22"/>
    </row>
    <row r="67" spans="1:8" ht="12.75">
      <c r="A67" s="250">
        <v>35</v>
      </c>
      <c r="B67" s="256">
        <f t="shared" si="35"/>
        <v>94500</v>
      </c>
      <c r="C67" s="252">
        <f t="shared" si="35"/>
        <v>-126.05042016806715</v>
      </c>
      <c r="D67" s="257">
        <f t="shared" si="35"/>
        <v>0</v>
      </c>
      <c r="E67" s="258">
        <f t="shared" si="35"/>
        <v>-126.05042016806715</v>
      </c>
      <c r="F67" s="259">
        <f t="shared" si="35"/>
        <v>0.3050468592990587</v>
      </c>
      <c r="G67" s="260">
        <f t="shared" si="35"/>
        <v>-187637.34798925417</v>
      </c>
      <c r="H67" s="22"/>
    </row>
    <row r="68" spans="1:8" ht="12.75">
      <c r="A68" s="250">
        <v>40</v>
      </c>
      <c r="B68" s="256">
        <f t="shared" si="35"/>
        <v>108000</v>
      </c>
      <c r="C68" s="252">
        <f t="shared" si="35"/>
        <v>1469566.386554622</v>
      </c>
      <c r="D68" s="257">
        <f t="shared" si="35"/>
        <v>0</v>
      </c>
      <c r="E68" s="258">
        <f t="shared" si="35"/>
        <v>1469566.386554622</v>
      </c>
      <c r="F68" s="259">
        <f t="shared" si="35"/>
        <v>171.13912480481397</v>
      </c>
      <c r="G68" s="260">
        <f t="shared" si="35"/>
        <v>45937563.69729977</v>
      </c>
      <c r="H68" s="22"/>
    </row>
    <row r="69" spans="1:8" ht="12.75">
      <c r="A69" s="250">
        <v>45</v>
      </c>
      <c r="B69" s="256">
        <f t="shared" si="35"/>
        <v>121500</v>
      </c>
      <c r="C69" s="252">
        <f t="shared" si="35"/>
        <v>-126.0504201680667</v>
      </c>
      <c r="D69" s="257">
        <f t="shared" si="35"/>
        <v>0</v>
      </c>
      <c r="E69" s="258">
        <f t="shared" si="35"/>
        <v>-126.0504201680667</v>
      </c>
      <c r="F69" s="259">
        <f t="shared" si="35"/>
        <v>0.3922031048130755</v>
      </c>
      <c r="G69" s="260">
        <f t="shared" si="35"/>
        <v>-164105.16170046962</v>
      </c>
      <c r="H69" s="22"/>
    </row>
    <row r="70" spans="1:8" ht="12.75">
      <c r="A70" s="250">
        <v>50</v>
      </c>
      <c r="B70" s="256">
        <f t="shared" si="35"/>
        <v>135000</v>
      </c>
      <c r="C70" s="252">
        <f t="shared" si="35"/>
        <v>1224617.6470588236</v>
      </c>
      <c r="D70" s="257">
        <f t="shared" si="35"/>
        <v>0</v>
      </c>
      <c r="E70" s="258">
        <f t="shared" si="35"/>
        <v>1224617.6470588236</v>
      </c>
      <c r="F70" s="259">
        <f t="shared" si="35"/>
        <v>142.761197746535</v>
      </c>
      <c r="G70" s="260">
        <f t="shared" si="35"/>
        <v>38275523.39156445</v>
      </c>
      <c r="H70" s="22"/>
    </row>
    <row r="71" spans="1:8" ht="12.75">
      <c r="A71" s="250">
        <v>55</v>
      </c>
      <c r="B71" s="256">
        <f t="shared" si="35"/>
        <v>148500</v>
      </c>
      <c r="C71" s="252">
        <f t="shared" si="35"/>
        <v>-126.05042016806698</v>
      </c>
      <c r="D71" s="257">
        <f t="shared" si="35"/>
        <v>0</v>
      </c>
      <c r="E71" s="258">
        <f t="shared" si="35"/>
        <v>-126.05042016806698</v>
      </c>
      <c r="F71" s="259">
        <f t="shared" si="35"/>
        <v>0.4793593503270923</v>
      </c>
      <c r="G71" s="260">
        <f t="shared" si="35"/>
        <v>-140572.97541168507</v>
      </c>
      <c r="H71" s="22"/>
    </row>
    <row r="72" spans="1:8" ht="12.75">
      <c r="A72" s="250">
        <v>60</v>
      </c>
      <c r="B72" s="256">
        <f t="shared" si="35"/>
        <v>162000</v>
      </c>
      <c r="C72" s="252">
        <f t="shared" si="35"/>
        <v>979668.9075630254</v>
      </c>
      <c r="D72" s="257">
        <f t="shared" si="35"/>
        <v>0</v>
      </c>
      <c r="E72" s="258">
        <f t="shared" si="35"/>
        <v>979668.9075630254</v>
      </c>
      <c r="F72" s="259">
        <f t="shared" si="35"/>
        <v>114.38327068825603</v>
      </c>
      <c r="G72" s="260">
        <f t="shared" si="35"/>
        <v>30613483.085829128</v>
      </c>
      <c r="H72" s="22"/>
    </row>
    <row r="73" spans="1:8" ht="12.75">
      <c r="A73" s="250">
        <v>65</v>
      </c>
      <c r="B73" s="256">
        <f t="shared" si="35"/>
        <v>175500</v>
      </c>
      <c r="C73" s="252">
        <f t="shared" si="35"/>
        <v>-126.05042016806743</v>
      </c>
      <c r="D73" s="257">
        <f t="shared" si="35"/>
        <v>0</v>
      </c>
      <c r="E73" s="258">
        <f t="shared" si="35"/>
        <v>-126.05042016806743</v>
      </c>
      <c r="F73" s="259">
        <f t="shared" si="35"/>
        <v>0.566515595841109</v>
      </c>
      <c r="G73" s="260">
        <f t="shared" si="35"/>
        <v>-117040.78912290058</v>
      </c>
      <c r="H73" s="22"/>
    </row>
    <row r="74" spans="1:8" ht="13.5" thickBot="1">
      <c r="A74" s="261">
        <v>70</v>
      </c>
      <c r="B74" s="262">
        <f t="shared" si="35"/>
        <v>189000</v>
      </c>
      <c r="C74" s="263">
        <f t="shared" si="35"/>
        <v>734720.168067227</v>
      </c>
      <c r="D74" s="257">
        <f t="shared" si="35"/>
        <v>0</v>
      </c>
      <c r="E74" s="264">
        <f t="shared" si="35"/>
        <v>734720.168067227</v>
      </c>
      <c r="F74" s="259">
        <f t="shared" si="35"/>
        <v>86.00534362997706</v>
      </c>
      <c r="G74" s="260">
        <f t="shared" si="35"/>
        <v>22951442.780093808</v>
      </c>
      <c r="H74" s="22"/>
    </row>
    <row r="75" spans="1:8" ht="12.75">
      <c r="A75" s="227"/>
      <c r="B75" s="225"/>
      <c r="C75" s="226"/>
      <c r="D75" s="34"/>
      <c r="E75" s="34"/>
      <c r="F75" s="34" t="s">
        <v>90</v>
      </c>
      <c r="G75" s="34"/>
      <c r="H75" s="22"/>
    </row>
    <row r="76" spans="1:8" ht="12.75">
      <c r="A76" s="265" t="s">
        <v>74</v>
      </c>
      <c r="B76" s="225" t="s">
        <v>85</v>
      </c>
      <c r="C76" s="226"/>
      <c r="D76" s="34"/>
      <c r="E76" s="34"/>
      <c r="F76" s="34"/>
      <c r="G76" s="34"/>
      <c r="H76" s="22"/>
    </row>
    <row r="77" spans="1:8" ht="13.5" thickBot="1">
      <c r="A77" s="266" t="s">
        <v>101</v>
      </c>
      <c r="B77" s="267"/>
      <c r="C77" s="268">
        <v>18500</v>
      </c>
      <c r="D77" s="34"/>
      <c r="E77" s="34"/>
      <c r="F77" s="34"/>
      <c r="G77" s="34"/>
      <c r="H77" s="22"/>
    </row>
    <row r="78" spans="1:8" ht="18">
      <c r="A78" s="269" t="s">
        <v>86</v>
      </c>
      <c r="B78" s="34"/>
      <c r="C78" s="34"/>
      <c r="D78" s="34"/>
      <c r="E78" s="34"/>
      <c r="F78" s="34"/>
      <c r="G78" s="34"/>
      <c r="H78" s="22"/>
    </row>
    <row r="79" spans="1:8" ht="13.5" thickBot="1">
      <c r="A79" s="204"/>
      <c r="B79" s="82"/>
      <c r="C79" s="82"/>
      <c r="D79" s="82"/>
      <c r="E79" s="82"/>
      <c r="F79" s="82"/>
      <c r="G79" s="82"/>
      <c r="H79" s="170"/>
    </row>
    <row r="80" spans="1:8" ht="12.75">
      <c r="A80" s="270" t="s">
        <v>64</v>
      </c>
      <c r="B80" s="271" t="s">
        <v>64</v>
      </c>
      <c r="C80" s="270" t="s">
        <v>37</v>
      </c>
      <c r="D80" s="230" t="s">
        <v>70</v>
      </c>
      <c r="E80" s="270" t="s">
        <v>51</v>
      </c>
      <c r="F80" s="272" t="s">
        <v>78</v>
      </c>
      <c r="G80" s="96" t="s">
        <v>69</v>
      </c>
      <c r="H80" s="232" t="s">
        <v>49</v>
      </c>
    </row>
    <row r="81" spans="1:8" ht="12.75">
      <c r="A81" s="273" t="s">
        <v>63</v>
      </c>
      <c r="B81" s="274" t="s">
        <v>63</v>
      </c>
      <c r="C81" s="275" t="s">
        <v>76</v>
      </c>
      <c r="D81" s="98" t="s">
        <v>71</v>
      </c>
      <c r="E81" s="276" t="s">
        <v>83</v>
      </c>
      <c r="F81" s="277" t="s">
        <v>77</v>
      </c>
      <c r="G81" s="237" t="s">
        <v>73</v>
      </c>
      <c r="H81" s="238" t="s">
        <v>79</v>
      </c>
    </row>
    <row r="82" spans="1:8" ht="13.5" thickBot="1">
      <c r="A82" s="278" t="s">
        <v>4</v>
      </c>
      <c r="B82" s="279" t="s">
        <v>65</v>
      </c>
      <c r="C82" s="280" t="s">
        <v>47</v>
      </c>
      <c r="D82" s="98" t="s">
        <v>72</v>
      </c>
      <c r="E82" s="273" t="s">
        <v>4</v>
      </c>
      <c r="F82" s="281" t="s">
        <v>5</v>
      </c>
      <c r="G82" s="237" t="s">
        <v>41</v>
      </c>
      <c r="H82" s="171" t="s">
        <v>80</v>
      </c>
    </row>
    <row r="83" spans="1:8" ht="12.75">
      <c r="A83" s="282"/>
      <c r="B83" s="283"/>
      <c r="C83" s="284"/>
      <c r="D83" s="202"/>
      <c r="E83" s="285"/>
      <c r="F83" s="286"/>
      <c r="G83" s="287"/>
      <c r="H83" s="249"/>
    </row>
    <row r="84" spans="1:10" ht="12.75">
      <c r="A84" s="288"/>
      <c r="B84" s="289"/>
      <c r="C84" s="290"/>
      <c r="D84" s="202"/>
      <c r="E84" s="285"/>
      <c r="F84" s="286"/>
      <c r="G84" s="287"/>
      <c r="H84" s="255"/>
      <c r="J84" s="291"/>
    </row>
    <row r="85" spans="1:8" ht="12.75">
      <c r="A85" s="292">
        <f aca="true" t="shared" si="36" ref="A85:B97">+B21</f>
        <v>22314.04958677686</v>
      </c>
      <c r="B85" s="293">
        <f t="shared" si="36"/>
        <v>27000</v>
      </c>
      <c r="C85" s="294">
        <f aca="true" t="shared" si="37" ref="C85:C97">+A21</f>
        <v>1821932.7731092435</v>
      </c>
      <c r="D85" s="257">
        <f aca="true" t="shared" si="38" ref="D85:D97">+E21/1.19</f>
        <v>0</v>
      </c>
      <c r="E85" s="290">
        <f>+C85+D85</f>
        <v>1821932.7731092435</v>
      </c>
      <c r="F85" s="295">
        <f aca="true" t="shared" si="39" ref="F85:F97">+D21+E21/1.19</f>
        <v>2204412.6050420166</v>
      </c>
      <c r="G85" s="259">
        <f aca="true" t="shared" si="40" ref="G85:G97">+(A21*O$14+B21+G$12+D85*O$14)/(D$13+D$13*0.0428/12*O$14)</f>
        <v>256.27290597965083</v>
      </c>
      <c r="H85" s="296">
        <f>+D$14*G85-D$14</f>
        <v>68923684.61450572</v>
      </c>
    </row>
    <row r="86" spans="1:8" ht="12.75">
      <c r="A86" s="292">
        <f t="shared" si="36"/>
        <v>33471.07438016529</v>
      </c>
      <c r="B86" s="293">
        <f t="shared" si="36"/>
        <v>40500</v>
      </c>
      <c r="C86" s="294">
        <f t="shared" si="37"/>
        <v>0</v>
      </c>
      <c r="D86" s="257">
        <f t="shared" si="38"/>
        <v>0</v>
      </c>
      <c r="E86" s="290">
        <f aca="true" t="shared" si="41" ref="E86:E97">+C86+D86</f>
        <v>0</v>
      </c>
      <c r="F86" s="295">
        <f t="shared" si="39"/>
        <v>-126.05042016806681</v>
      </c>
      <c r="G86" s="259">
        <f t="shared" si="40"/>
        <v>0.1307343682710252</v>
      </c>
      <c r="H86" s="296">
        <f aca="true" t="shared" si="42" ref="H86:H97">+D$14*G86-D$14</f>
        <v>-234701.7205668232</v>
      </c>
    </row>
    <row r="87" spans="1:8" ht="12.75">
      <c r="A87" s="292">
        <f t="shared" si="36"/>
        <v>44628.09917355372</v>
      </c>
      <c r="B87" s="293">
        <f t="shared" si="36"/>
        <v>54000</v>
      </c>
      <c r="C87" s="294">
        <f t="shared" si="37"/>
        <v>1619495.7983193279</v>
      </c>
      <c r="D87" s="257">
        <f t="shared" si="38"/>
        <v>0</v>
      </c>
      <c r="E87" s="290">
        <f t="shared" si="41"/>
        <v>1619495.7983193279</v>
      </c>
      <c r="F87" s="295">
        <f t="shared" si="39"/>
        <v>1959463.8655462186</v>
      </c>
      <c r="G87" s="259">
        <f t="shared" si="40"/>
        <v>227.89497892137192</v>
      </c>
      <c r="H87" s="296">
        <f t="shared" si="42"/>
        <v>61261644.30877042</v>
      </c>
    </row>
    <row r="88" spans="1:8" ht="12.75">
      <c r="A88" s="292">
        <f t="shared" si="36"/>
        <v>55785.12396694215</v>
      </c>
      <c r="B88" s="293">
        <f t="shared" si="36"/>
        <v>67500</v>
      </c>
      <c r="C88" s="294">
        <f t="shared" si="37"/>
        <v>0</v>
      </c>
      <c r="D88" s="257">
        <f t="shared" si="38"/>
        <v>0</v>
      </c>
      <c r="E88" s="290">
        <f t="shared" si="41"/>
        <v>0</v>
      </c>
      <c r="F88" s="295">
        <f t="shared" si="39"/>
        <v>-126.05042016806772</v>
      </c>
      <c r="G88" s="259">
        <f t="shared" si="40"/>
        <v>0.21789061378504193</v>
      </c>
      <c r="H88" s="296">
        <f t="shared" si="42"/>
        <v>-211169.53427803869</v>
      </c>
    </row>
    <row r="89" spans="1:8" ht="12.75">
      <c r="A89" s="292">
        <f t="shared" si="36"/>
        <v>66942.14876033059</v>
      </c>
      <c r="B89" s="293">
        <f t="shared" si="36"/>
        <v>81000</v>
      </c>
      <c r="C89" s="294">
        <f t="shared" si="37"/>
        <v>1417058.8235294118</v>
      </c>
      <c r="D89" s="257">
        <f t="shared" si="38"/>
        <v>0</v>
      </c>
      <c r="E89" s="290">
        <f t="shared" si="41"/>
        <v>1417058.8235294118</v>
      </c>
      <c r="F89" s="295">
        <f t="shared" si="39"/>
        <v>1714515.12605042</v>
      </c>
      <c r="G89" s="259">
        <f t="shared" si="40"/>
        <v>199.51705186309295</v>
      </c>
      <c r="H89" s="296">
        <f t="shared" si="42"/>
        <v>53599604.0030351</v>
      </c>
    </row>
    <row r="90" spans="1:8" ht="12.75">
      <c r="A90" s="292">
        <f t="shared" si="36"/>
        <v>78099.17355371901</v>
      </c>
      <c r="B90" s="293">
        <f t="shared" si="36"/>
        <v>94500</v>
      </c>
      <c r="C90" s="294">
        <f t="shared" si="37"/>
        <v>0</v>
      </c>
      <c r="D90" s="257">
        <f t="shared" si="38"/>
        <v>0</v>
      </c>
      <c r="E90" s="290">
        <f t="shared" si="41"/>
        <v>0</v>
      </c>
      <c r="F90" s="295">
        <f t="shared" si="39"/>
        <v>-126.05042016806715</v>
      </c>
      <c r="G90" s="259">
        <f t="shared" si="40"/>
        <v>0.3050468592990587</v>
      </c>
      <c r="H90" s="296">
        <f t="shared" si="42"/>
        <v>-187637.34798925417</v>
      </c>
    </row>
    <row r="91" spans="1:8" ht="12.75">
      <c r="A91" s="292">
        <f t="shared" si="36"/>
        <v>89256.19834710743</v>
      </c>
      <c r="B91" s="293">
        <f t="shared" si="36"/>
        <v>108000</v>
      </c>
      <c r="C91" s="294">
        <f t="shared" si="37"/>
        <v>1214621.848739496</v>
      </c>
      <c r="D91" s="257">
        <f t="shared" si="38"/>
        <v>0</v>
      </c>
      <c r="E91" s="290">
        <f t="shared" si="41"/>
        <v>1214621.848739496</v>
      </c>
      <c r="F91" s="295">
        <f t="shared" si="39"/>
        <v>1469566.386554622</v>
      </c>
      <c r="G91" s="259">
        <f t="shared" si="40"/>
        <v>171.13912480481397</v>
      </c>
      <c r="H91" s="296">
        <f t="shared" si="42"/>
        <v>45937563.69729977</v>
      </c>
    </row>
    <row r="92" spans="1:8" ht="12.75">
      <c r="A92" s="292">
        <f t="shared" si="36"/>
        <v>100413.22314049587</v>
      </c>
      <c r="B92" s="293">
        <f t="shared" si="36"/>
        <v>121500</v>
      </c>
      <c r="C92" s="294">
        <f t="shared" si="37"/>
        <v>0</v>
      </c>
      <c r="D92" s="257">
        <f t="shared" si="38"/>
        <v>0</v>
      </c>
      <c r="E92" s="290">
        <f t="shared" si="41"/>
        <v>0</v>
      </c>
      <c r="F92" s="295">
        <f t="shared" si="39"/>
        <v>-126.0504201680667</v>
      </c>
      <c r="G92" s="259">
        <f t="shared" si="40"/>
        <v>0.3922031048130755</v>
      </c>
      <c r="H92" s="296">
        <f t="shared" si="42"/>
        <v>-164105.16170046962</v>
      </c>
    </row>
    <row r="93" spans="1:8" ht="12.75">
      <c r="A93" s="292">
        <f t="shared" si="36"/>
        <v>111570.2479338843</v>
      </c>
      <c r="B93" s="293">
        <f t="shared" si="36"/>
        <v>135000</v>
      </c>
      <c r="C93" s="294">
        <f t="shared" si="37"/>
        <v>1012184.8739495799</v>
      </c>
      <c r="D93" s="257">
        <f t="shared" si="38"/>
        <v>0</v>
      </c>
      <c r="E93" s="290">
        <f t="shared" si="41"/>
        <v>1012184.8739495799</v>
      </c>
      <c r="F93" s="295">
        <f t="shared" si="39"/>
        <v>1224617.6470588236</v>
      </c>
      <c r="G93" s="259">
        <f t="shared" si="40"/>
        <v>142.761197746535</v>
      </c>
      <c r="H93" s="296">
        <f t="shared" si="42"/>
        <v>38275523.39156445</v>
      </c>
    </row>
    <row r="94" spans="1:8" ht="12.75">
      <c r="A94" s="292">
        <f t="shared" si="36"/>
        <v>122727.27272727274</v>
      </c>
      <c r="B94" s="293">
        <f t="shared" si="36"/>
        <v>148500</v>
      </c>
      <c r="C94" s="294">
        <f t="shared" si="37"/>
        <v>0</v>
      </c>
      <c r="D94" s="257">
        <f t="shared" si="38"/>
        <v>0</v>
      </c>
      <c r="E94" s="290">
        <f t="shared" si="41"/>
        <v>0</v>
      </c>
      <c r="F94" s="295">
        <f t="shared" si="39"/>
        <v>-126.05042016806698</v>
      </c>
      <c r="G94" s="259">
        <f t="shared" si="40"/>
        <v>0.4793593503270923</v>
      </c>
      <c r="H94" s="296">
        <f t="shared" si="42"/>
        <v>-140572.97541168507</v>
      </c>
    </row>
    <row r="95" spans="1:8" ht="12.75">
      <c r="A95" s="292">
        <f t="shared" si="36"/>
        <v>133884.29752066117</v>
      </c>
      <c r="B95" s="293">
        <f t="shared" si="36"/>
        <v>162000</v>
      </c>
      <c r="C95" s="294">
        <f t="shared" si="37"/>
        <v>809747.8991596639</v>
      </c>
      <c r="D95" s="257">
        <f t="shared" si="38"/>
        <v>0</v>
      </c>
      <c r="E95" s="290">
        <f t="shared" si="41"/>
        <v>809747.8991596639</v>
      </c>
      <c r="F95" s="295">
        <f t="shared" si="39"/>
        <v>979668.9075630254</v>
      </c>
      <c r="G95" s="259">
        <f t="shared" si="40"/>
        <v>114.38327068825603</v>
      </c>
      <c r="H95" s="296">
        <f t="shared" si="42"/>
        <v>30613483.085829128</v>
      </c>
    </row>
    <row r="96" spans="1:8" ht="12.75">
      <c r="A96" s="292">
        <f t="shared" si="36"/>
        <v>145041.32231404958</v>
      </c>
      <c r="B96" s="293">
        <f t="shared" si="36"/>
        <v>175500</v>
      </c>
      <c r="C96" s="294">
        <f t="shared" si="37"/>
        <v>0</v>
      </c>
      <c r="D96" s="257">
        <f t="shared" si="38"/>
        <v>0</v>
      </c>
      <c r="E96" s="290">
        <f t="shared" si="41"/>
        <v>0</v>
      </c>
      <c r="F96" s="295">
        <f t="shared" si="39"/>
        <v>-126.05042016806743</v>
      </c>
      <c r="G96" s="259">
        <f t="shared" si="40"/>
        <v>0.566515595841109</v>
      </c>
      <c r="H96" s="296">
        <f t="shared" si="42"/>
        <v>-117040.78912290058</v>
      </c>
    </row>
    <row r="97" spans="1:8" ht="13.5" thickBot="1">
      <c r="A97" s="297">
        <f t="shared" si="36"/>
        <v>156198.34710743802</v>
      </c>
      <c r="B97" s="298">
        <f t="shared" si="36"/>
        <v>189000</v>
      </c>
      <c r="C97" s="299">
        <f t="shared" si="37"/>
        <v>607310.924369748</v>
      </c>
      <c r="D97" s="300">
        <f t="shared" si="38"/>
        <v>0</v>
      </c>
      <c r="E97" s="301">
        <f t="shared" si="41"/>
        <v>607310.924369748</v>
      </c>
      <c r="F97" s="302">
        <f t="shared" si="39"/>
        <v>734720.168067227</v>
      </c>
      <c r="G97" s="303">
        <f t="shared" si="40"/>
        <v>86.00534362997706</v>
      </c>
      <c r="H97" s="304">
        <f t="shared" si="42"/>
        <v>22951442.780093808</v>
      </c>
    </row>
    <row r="98" spans="1:8" ht="12.75">
      <c r="A98" s="78"/>
      <c r="B98" s="34"/>
      <c r="C98" s="34"/>
      <c r="D98" s="34"/>
      <c r="E98" s="34"/>
      <c r="F98" s="305" t="s">
        <v>99</v>
      </c>
      <c r="G98" s="34"/>
      <c r="H98" s="22"/>
    </row>
    <row r="99" spans="1:8" ht="13.5" thickBot="1">
      <c r="A99" s="306" t="s">
        <v>74</v>
      </c>
      <c r="B99" s="82" t="s">
        <v>85</v>
      </c>
      <c r="C99" s="82"/>
      <c r="D99" s="82"/>
      <c r="E99" s="82"/>
      <c r="F99" s="82"/>
      <c r="G99" s="82"/>
      <c r="H99" s="170"/>
    </row>
    <row r="100" ht="12.75">
      <c r="A100" s="1" t="s">
        <v>98</v>
      </c>
    </row>
  </sheetData>
  <sheetProtection/>
  <mergeCells count="34">
    <mergeCell ref="U39:AB39"/>
    <mergeCell ref="U45:AB46"/>
    <mergeCell ref="U10:V10"/>
    <mergeCell ref="E55:H55"/>
    <mergeCell ref="F51:H51"/>
    <mergeCell ref="F52:H52"/>
    <mergeCell ref="F53:H53"/>
    <mergeCell ref="E54:H54"/>
    <mergeCell ref="W33:Z33"/>
    <mergeCell ref="W34:Z34"/>
    <mergeCell ref="X4:AB5"/>
    <mergeCell ref="U1:AB1"/>
    <mergeCell ref="U2:AB2"/>
    <mergeCell ref="U8:V8"/>
    <mergeCell ref="Y10:AA11"/>
    <mergeCell ref="W3:X3"/>
    <mergeCell ref="U3:V3"/>
    <mergeCell ref="B17:C17"/>
    <mergeCell ref="U16:V16"/>
    <mergeCell ref="W15:AB15"/>
    <mergeCell ref="W16:AB16"/>
    <mergeCell ref="W36:Z36"/>
    <mergeCell ref="W37:Z37"/>
    <mergeCell ref="W35:Z35"/>
    <mergeCell ref="W38:Z38"/>
    <mergeCell ref="Y8:AA9"/>
    <mergeCell ref="U12:W12"/>
    <mergeCell ref="U13:W13"/>
    <mergeCell ref="U11:V11"/>
    <mergeCell ref="W30:Y30"/>
    <mergeCell ref="W29:AA29"/>
    <mergeCell ref="U28:AB28"/>
    <mergeCell ref="U32:V32"/>
    <mergeCell ref="U29:V31"/>
  </mergeCells>
  <hyperlinks>
    <hyperlink ref="O9" r:id="rId1" display="prodej@meteorcar.cz"/>
  </hyperlinks>
  <printOptions horizontalCentered="1" verticalCentered="1"/>
  <pageMargins left="0.5118110236220472" right="0.4330708661417323" top="0.44" bottom="0.3937007874015748" header="0.35433070866141736" footer="0.31496062992125984"/>
  <pageSetup fitToHeight="1" fitToWidth="1" horizontalDpi="1200" verticalDpi="1200" orientation="portrait" paperSize="9" scale="1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Ing. Ivo Hrbáček</cp:lastModifiedBy>
  <cp:lastPrinted>2013-06-14T16:26:41Z</cp:lastPrinted>
  <dcterms:created xsi:type="dcterms:W3CDTF">2001-04-22T07:49:47Z</dcterms:created>
  <dcterms:modified xsi:type="dcterms:W3CDTF">2018-05-23T23:34:37Z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